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A-MEUS DOCUMENTOS\PMIBERTIOGA_22-24\4_POÇOS TUBULARES PROFUNDOS_2024\LICITAÇÃO - 4 POÇOS TUBULARES PROFUNDOS\"/>
    </mc:Choice>
  </mc:AlternateContent>
  <xr:revisionPtr revIDLastSave="0" documentId="13_ncr:1_{CDE448B5-575F-4A0E-AD17-8E7DD48C35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 ORÇAMENTÁRIA" sheetId="5" r:id="rId1"/>
    <sheet name="COTAÇÕES DE PREÇOS" sheetId="16" r:id="rId2"/>
    <sheet name="COMPOSIÇÕES DE CUSTOS" sheetId="15" r:id="rId3"/>
    <sheet name="CÁLCULO DE RESERVATÓRIOS" sheetId="9" r:id="rId4"/>
    <sheet name="DIMENSIONAMENTO DE MOTOBOMBAS" sheetId="12" r:id="rId5"/>
    <sheet name="PLANILHA DE LEVANTAMENTO" sheetId="8" r:id="rId6"/>
    <sheet name="DEMONSTRATIVO BDI" sheetId="13" r:id="rId7"/>
    <sheet name="CRONOGRAMA FÍSICO-FINANCEIRO" sheetId="6" r:id="rId8"/>
  </sheets>
  <externalReferences>
    <externalReference r:id="rId9"/>
  </externalReferences>
  <definedNames>
    <definedName name="_xlnm.Print_Area" localSheetId="3">'CÁLCULO DE RESERVATÓRIOS'!$A$1:$Q$156</definedName>
    <definedName name="_xlnm.Print_Area" localSheetId="2">'COMPOSIÇÕES DE CUSTOS'!$A$1:$K$62</definedName>
    <definedName name="_xlnm.Print_Area" localSheetId="1">'COTAÇÕES DE PREÇOS'!$A$1:$K$83</definedName>
    <definedName name="_xlnm.Print_Area" localSheetId="7">'CRONOGRAMA FÍSICO-FINANCEIRO'!$A$1:$K$47</definedName>
    <definedName name="_xlnm.Print_Area" localSheetId="6">'DEMONSTRATIVO BDI'!$A$1:$L$51</definedName>
    <definedName name="_xlnm.Print_Area" localSheetId="4">'DIMENSIONAMENTO DE MOTOBOMBAS'!$A$1:$R$184</definedName>
    <definedName name="_xlnm.Print_Area" localSheetId="5">'PLANILHA DE LEVANTAMENTO'!$A$1:$P$49</definedName>
    <definedName name="_xlnm.Print_Area" localSheetId="0">'PLANILHA ORÇAMENTÁRIA'!$A$1:$I$108</definedName>
    <definedName name="_xlnm.Print_Titles" localSheetId="3">'CÁLCULO DE RESERVATÓRIOS'!$1:$16</definedName>
    <definedName name="_xlnm.Print_Titles" localSheetId="2">'COMPOSIÇÕES DE CUSTOS'!$1:$18</definedName>
    <definedName name="_xlnm.Print_Titles" localSheetId="1">'COTAÇÕES DE PREÇOS'!$1:$13</definedName>
    <definedName name="_xlnm.Print_Titles" localSheetId="4">'DIMENSIONAMENTO DE MOTOBOMBAS'!$1:$17</definedName>
    <definedName name="_xlnm.Print_Titles" localSheetId="5">'PLANILHA DE LEVANTAMENTO'!$1:$21</definedName>
    <definedName name="_xlnm.Print_Titles" localSheetId="0">'PLANILHA ORÇAMENTÁRIA'!$1:$12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3" i="5" l="1"/>
  <c r="O28" i="8"/>
  <c r="O26" i="8"/>
  <c r="O24" i="8"/>
  <c r="O22" i="8"/>
  <c r="N12" i="8"/>
  <c r="T28" i="8"/>
  <c r="M28" i="8"/>
  <c r="L28" i="8"/>
  <c r="K28" i="8"/>
  <c r="J28" i="8"/>
  <c r="H28" i="8"/>
  <c r="G28" i="8"/>
  <c r="B133" i="12"/>
  <c r="E157" i="12"/>
  <c r="G149" i="12"/>
  <c r="K147" i="12"/>
  <c r="C157" i="12" s="1"/>
  <c r="I157" i="12" s="1"/>
  <c r="O140" i="12"/>
  <c r="I134" i="9"/>
  <c r="G134" i="9"/>
  <c r="I119" i="9"/>
  <c r="E134" i="9" s="1"/>
  <c r="C164" i="12" l="1"/>
  <c r="K134" i="9"/>
  <c r="E51" i="15" l="1"/>
  <c r="D51" i="15"/>
  <c r="E44" i="15"/>
  <c r="D44" i="15"/>
  <c r="E37" i="15"/>
  <c r="D37" i="15"/>
  <c r="I71" i="16"/>
  <c r="F35" i="5" s="1"/>
  <c r="H35" i="5" s="1"/>
  <c r="I64" i="16"/>
  <c r="F45" i="5" s="1"/>
  <c r="H45" i="5" s="1"/>
  <c r="N45" i="5"/>
  <c r="P45" i="5" s="1"/>
  <c r="E45" i="5" s="1"/>
  <c r="C45" i="5"/>
  <c r="P34" i="5"/>
  <c r="E34" i="5" s="1"/>
  <c r="P35" i="5"/>
  <c r="E35" i="5" s="1"/>
  <c r="C35" i="5"/>
  <c r="H34" i="5"/>
  <c r="B13" i="16"/>
  <c r="B10" i="16"/>
  <c r="B11" i="16"/>
  <c r="B9" i="16"/>
  <c r="F81" i="16"/>
  <c r="B81" i="16"/>
  <c r="F80" i="16"/>
  <c r="B80" i="16"/>
  <c r="B79" i="16"/>
  <c r="H57" i="16"/>
  <c r="I57" i="16" s="1"/>
  <c r="H51" i="15" s="1"/>
  <c r="I51" i="15" s="1"/>
  <c r="I50" i="16"/>
  <c r="H44" i="15" s="1"/>
  <c r="I44" i="15" s="1"/>
  <c r="H50" i="16"/>
  <c r="H43" i="16"/>
  <c r="I43" i="16" s="1"/>
  <c r="H37" i="15" s="1"/>
  <c r="I37" i="15" s="1"/>
  <c r="I36" i="16"/>
  <c r="H30" i="15" s="1"/>
  <c r="I30" i="15" s="1"/>
  <c r="H36" i="16"/>
  <c r="H29" i="16"/>
  <c r="I29" i="16" s="1"/>
  <c r="H22" i="15" s="1"/>
  <c r="I22" i="15" s="1"/>
  <c r="I22" i="16"/>
  <c r="H21" i="15" s="1"/>
  <c r="I21" i="15" s="1"/>
  <c r="H22" i="16"/>
  <c r="H48" i="13"/>
  <c r="H47" i="13"/>
  <c r="B48" i="13"/>
  <c r="B49" i="13"/>
  <c r="B47" i="13"/>
  <c r="B43" i="13"/>
  <c r="G85" i="5"/>
  <c r="G84" i="5"/>
  <c r="G83" i="5"/>
  <c r="G78" i="5"/>
  <c r="G79" i="5"/>
  <c r="H79" i="5" s="1"/>
  <c r="G80" i="5"/>
  <c r="G81" i="5"/>
  <c r="G82" i="5"/>
  <c r="G77" i="5"/>
  <c r="G73" i="5"/>
  <c r="G72" i="5"/>
  <c r="H72" i="5" s="1"/>
  <c r="G68" i="5"/>
  <c r="G64" i="5"/>
  <c r="G63" i="5"/>
  <c r="G62" i="5"/>
  <c r="G57" i="5"/>
  <c r="G58" i="5"/>
  <c r="G59" i="5"/>
  <c r="G60" i="5"/>
  <c r="G61" i="5"/>
  <c r="G56" i="5"/>
  <c r="G50" i="5"/>
  <c r="G51" i="5"/>
  <c r="G52" i="5"/>
  <c r="G49" i="5"/>
  <c r="G48" i="5"/>
  <c r="G47" i="5"/>
  <c r="G46" i="5"/>
  <c r="G43" i="5"/>
  <c r="G44" i="5"/>
  <c r="G42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6" i="5"/>
  <c r="G37" i="5"/>
  <c r="G38" i="5"/>
  <c r="G20" i="5"/>
  <c r="G16" i="5"/>
  <c r="G15" i="5"/>
  <c r="H25" i="13"/>
  <c r="H36" i="13" s="1"/>
  <c r="B13" i="13"/>
  <c r="B12" i="13"/>
  <c r="B11" i="13"/>
  <c r="E49" i="15"/>
  <c r="I53" i="15"/>
  <c r="I52" i="15"/>
  <c r="L85" i="5"/>
  <c r="F85" i="5" s="1"/>
  <c r="H85" i="5" s="1"/>
  <c r="H82" i="5"/>
  <c r="E42" i="15"/>
  <c r="I46" i="15"/>
  <c r="I45" i="15"/>
  <c r="E35" i="15"/>
  <c r="I39" i="15"/>
  <c r="I38" i="15"/>
  <c r="J26" i="8"/>
  <c r="J24" i="8"/>
  <c r="J22" i="8"/>
  <c r="I31" i="15"/>
  <c r="E30" i="15"/>
  <c r="D30" i="15"/>
  <c r="E28" i="15"/>
  <c r="I32" i="15"/>
  <c r="N64" i="5"/>
  <c r="P64" i="5" s="1"/>
  <c r="E64" i="5" s="1"/>
  <c r="E19" i="15"/>
  <c r="G25" i="15"/>
  <c r="I25" i="15" s="1"/>
  <c r="G24" i="15"/>
  <c r="I24" i="15" s="1"/>
  <c r="I23" i="15"/>
  <c r="E22" i="15"/>
  <c r="D22" i="15"/>
  <c r="D21" i="15"/>
  <c r="E21" i="15"/>
  <c r="B15" i="15"/>
  <c r="L23" i="5"/>
  <c r="F61" i="15"/>
  <c r="B61" i="15"/>
  <c r="F60" i="15"/>
  <c r="B60" i="15"/>
  <c r="B59" i="15"/>
  <c r="B13" i="15"/>
  <c r="B12" i="15"/>
  <c r="B11" i="15"/>
  <c r="B10" i="15"/>
  <c r="E119" i="12"/>
  <c r="G111" i="12"/>
  <c r="G73" i="12"/>
  <c r="E81" i="12"/>
  <c r="E43" i="12"/>
  <c r="G35" i="12"/>
  <c r="H51" i="5"/>
  <c r="I28" i="13"/>
  <c r="I37" i="13" s="1"/>
  <c r="H28" i="13"/>
  <c r="H37" i="13" s="1"/>
  <c r="G28" i="13"/>
  <c r="G37" i="13" s="1"/>
  <c r="F28" i="13"/>
  <c r="F37" i="13" s="1"/>
  <c r="E28" i="13"/>
  <c r="E37" i="13" s="1"/>
  <c r="D28" i="13"/>
  <c r="D37" i="13" s="1"/>
  <c r="I25" i="13"/>
  <c r="I36" i="13" s="1"/>
  <c r="G25" i="13"/>
  <c r="G36" i="13" s="1"/>
  <c r="F25" i="13"/>
  <c r="F36" i="13" s="1"/>
  <c r="E25" i="13"/>
  <c r="E36" i="13" s="1"/>
  <c r="D25" i="13"/>
  <c r="D36" i="13" s="1"/>
  <c r="D38" i="13" s="1"/>
  <c r="K24" i="8"/>
  <c r="K22" i="8"/>
  <c r="H24" i="8"/>
  <c r="K71" i="12" s="1"/>
  <c r="C81" i="12" s="1"/>
  <c r="H22" i="8"/>
  <c r="K33" i="12" s="1"/>
  <c r="C43" i="12" s="1"/>
  <c r="G24" i="8"/>
  <c r="O64" i="12" s="1"/>
  <c r="G26" i="8"/>
  <c r="O102" i="12" s="1"/>
  <c r="G22" i="8"/>
  <c r="O26" i="12" s="1"/>
  <c r="B13" i="8"/>
  <c r="B183" i="12"/>
  <c r="B182" i="12"/>
  <c r="B176" i="12"/>
  <c r="B175" i="12"/>
  <c r="B174" i="12"/>
  <c r="B95" i="12"/>
  <c r="B57" i="12"/>
  <c r="B19" i="12"/>
  <c r="A15" i="12"/>
  <c r="A14" i="12"/>
  <c r="B154" i="9"/>
  <c r="B153" i="9"/>
  <c r="B146" i="9"/>
  <c r="B147" i="9"/>
  <c r="B145" i="9"/>
  <c r="I70" i="9"/>
  <c r="G70" i="9"/>
  <c r="I55" i="9"/>
  <c r="E70" i="9" s="1"/>
  <c r="I40" i="9"/>
  <c r="G40" i="9"/>
  <c r="I25" i="9"/>
  <c r="E40" i="9" s="1"/>
  <c r="G100" i="9"/>
  <c r="I85" i="9"/>
  <c r="E100" i="9" s="1"/>
  <c r="I100" i="9"/>
  <c r="B48" i="9"/>
  <c r="B78" i="9"/>
  <c r="B18" i="9"/>
  <c r="F73" i="5"/>
  <c r="H73" i="5" s="1"/>
  <c r="D45" i="6"/>
  <c r="D44" i="6"/>
  <c r="C27" i="6"/>
  <c r="A27" i="6"/>
  <c r="C25" i="6"/>
  <c r="A25" i="6"/>
  <c r="C23" i="6"/>
  <c r="A23" i="6"/>
  <c r="C21" i="6"/>
  <c r="A21" i="6"/>
  <c r="C19" i="6"/>
  <c r="A19" i="6"/>
  <c r="C17" i="6"/>
  <c r="A17" i="6"/>
  <c r="C15" i="6"/>
  <c r="A15" i="6"/>
  <c r="C13" i="6"/>
  <c r="A13" i="6"/>
  <c r="A15" i="9"/>
  <c r="A14" i="9"/>
  <c r="A13" i="9"/>
  <c r="N73" i="5"/>
  <c r="P73" i="5" s="1"/>
  <c r="N72" i="5"/>
  <c r="P72" i="5" s="1"/>
  <c r="M32" i="8"/>
  <c r="E84" i="5" s="1"/>
  <c r="E85" i="5" s="1"/>
  <c r="H84" i="5"/>
  <c r="L22" i="8"/>
  <c r="P20" i="5"/>
  <c r="E20" i="5" s="1"/>
  <c r="P21" i="5"/>
  <c r="E21" i="5" s="1"/>
  <c r="P22" i="5"/>
  <c r="E22" i="5" s="1"/>
  <c r="P23" i="5"/>
  <c r="E23" i="5" s="1"/>
  <c r="P24" i="5"/>
  <c r="E24" i="5" s="1"/>
  <c r="P25" i="5"/>
  <c r="E25" i="5" s="1"/>
  <c r="P26" i="5"/>
  <c r="E26" i="5" s="1"/>
  <c r="P27" i="5"/>
  <c r="E27" i="5" s="1"/>
  <c r="P28" i="5"/>
  <c r="E28" i="5" s="1"/>
  <c r="P29" i="5"/>
  <c r="E29" i="5" s="1"/>
  <c r="P30" i="5"/>
  <c r="E30" i="5" s="1"/>
  <c r="P31" i="5"/>
  <c r="E31" i="5" s="1"/>
  <c r="P32" i="5"/>
  <c r="E32" i="5" s="1"/>
  <c r="P33" i="5"/>
  <c r="E33" i="5" s="1"/>
  <c r="P36" i="5"/>
  <c r="E36" i="5" s="1"/>
  <c r="P37" i="5"/>
  <c r="E37" i="5" s="1"/>
  <c r="P38" i="5"/>
  <c r="E38" i="5" s="1"/>
  <c r="P42" i="5"/>
  <c r="E42" i="5" s="1"/>
  <c r="P43" i="5"/>
  <c r="E43" i="5" s="1"/>
  <c r="P44" i="5"/>
  <c r="E44" i="5" s="1"/>
  <c r="P46" i="5"/>
  <c r="E46" i="5" s="1"/>
  <c r="P48" i="5"/>
  <c r="E48" i="5" s="1"/>
  <c r="P16" i="5"/>
  <c r="E16" i="5" s="1"/>
  <c r="P15" i="5"/>
  <c r="E15" i="5" s="1"/>
  <c r="N68" i="5"/>
  <c r="P68" i="5" s="1"/>
  <c r="E68" i="5" s="1"/>
  <c r="N52" i="5"/>
  <c r="P52" i="5" s="1"/>
  <c r="E52" i="5" s="1"/>
  <c r="N50" i="5"/>
  <c r="P50" i="5" s="1"/>
  <c r="E50" i="5" s="1"/>
  <c r="N49" i="5"/>
  <c r="P49" i="5" s="1"/>
  <c r="E49" i="5" s="1"/>
  <c r="D26" i="8"/>
  <c r="D32" i="8" s="1"/>
  <c r="E62" i="5" s="1"/>
  <c r="E58" i="5" s="1"/>
  <c r="E60" i="5" s="1"/>
  <c r="L24" i="8"/>
  <c r="L46" i="8"/>
  <c r="L45" i="8"/>
  <c r="B47" i="8"/>
  <c r="B46" i="8"/>
  <c r="B45" i="8"/>
  <c r="B14" i="8"/>
  <c r="B12" i="8"/>
  <c r="I45" i="5" l="1"/>
  <c r="I35" i="5"/>
  <c r="I34" i="5"/>
  <c r="F38" i="13"/>
  <c r="H38" i="13"/>
  <c r="I38" i="13"/>
  <c r="E38" i="13"/>
  <c r="I49" i="15"/>
  <c r="F68" i="5" s="1"/>
  <c r="H68" i="5" s="1"/>
  <c r="I68" i="5" s="1"/>
  <c r="I69" i="5" s="1"/>
  <c r="E22" i="6" s="1"/>
  <c r="I22" i="6" s="1"/>
  <c r="I85" i="5"/>
  <c r="N47" i="5"/>
  <c r="P47" i="5" s="1"/>
  <c r="E47" i="5" s="1"/>
  <c r="I42" i="15"/>
  <c r="F52" i="5" s="1"/>
  <c r="H52" i="5" s="1"/>
  <c r="I52" i="5" s="1"/>
  <c r="I35" i="15"/>
  <c r="F50" i="5" s="1"/>
  <c r="H50" i="5" s="1"/>
  <c r="I50" i="5" s="1"/>
  <c r="I28" i="15"/>
  <c r="F64" i="5" s="1"/>
  <c r="H64" i="5" s="1"/>
  <c r="I64" i="5" s="1"/>
  <c r="I19" i="15"/>
  <c r="F63" i="5" s="1"/>
  <c r="H63" i="5" s="1"/>
  <c r="J32" i="8"/>
  <c r="E51" i="5" s="1"/>
  <c r="I51" i="5" s="1"/>
  <c r="I81" i="12"/>
  <c r="C88" i="12" s="1"/>
  <c r="I43" i="12"/>
  <c r="C50" i="12" s="1"/>
  <c r="G38" i="13"/>
  <c r="K26" i="8"/>
  <c r="K32" i="8" s="1"/>
  <c r="E63" i="5" s="1"/>
  <c r="H26" i="8"/>
  <c r="K109" i="12" s="1"/>
  <c r="C119" i="12" s="1"/>
  <c r="I119" i="12" s="1"/>
  <c r="C126" i="12" s="1"/>
  <c r="K70" i="9"/>
  <c r="K40" i="9"/>
  <c r="K100" i="9"/>
  <c r="I84" i="5"/>
  <c r="E59" i="5"/>
  <c r="E57" i="5"/>
  <c r="E61" i="5"/>
  <c r="E56" i="5"/>
  <c r="N32" i="8"/>
  <c r="E73" i="5" s="1"/>
  <c r="I73" i="5" s="1"/>
  <c r="L32" i="8"/>
  <c r="E83" i="5" s="1"/>
  <c r="E82" i="5" s="1"/>
  <c r="I82" i="5" s="1"/>
  <c r="O32" i="8"/>
  <c r="E72" i="5" s="1"/>
  <c r="I72" i="5" s="1"/>
  <c r="B45" i="6"/>
  <c r="B46" i="6"/>
  <c r="B44" i="6"/>
  <c r="I11" i="6"/>
  <c r="I10" i="6"/>
  <c r="D11" i="6"/>
  <c r="A11" i="6"/>
  <c r="A10" i="6"/>
  <c r="K36" i="6"/>
  <c r="J36" i="6"/>
  <c r="I36" i="6"/>
  <c r="H36" i="6"/>
  <c r="G36" i="6"/>
  <c r="F36" i="6"/>
  <c r="K34" i="6"/>
  <c r="J34" i="6"/>
  <c r="I34" i="6"/>
  <c r="H34" i="6"/>
  <c r="G34" i="6"/>
  <c r="F34" i="6"/>
  <c r="K32" i="6"/>
  <c r="J32" i="6"/>
  <c r="I32" i="6"/>
  <c r="H32" i="6"/>
  <c r="G32" i="6"/>
  <c r="F32" i="6"/>
  <c r="K30" i="6"/>
  <c r="J30" i="6"/>
  <c r="I30" i="6"/>
  <c r="H30" i="6"/>
  <c r="G30" i="6"/>
  <c r="F30" i="6"/>
  <c r="H16" i="5"/>
  <c r="I16" i="5" s="1"/>
  <c r="H83" i="5"/>
  <c r="H81" i="5"/>
  <c r="H80" i="5"/>
  <c r="H78" i="5"/>
  <c r="H77" i="5"/>
  <c r="H62" i="5"/>
  <c r="I62" i="5" s="1"/>
  <c r="H61" i="5"/>
  <c r="H60" i="5"/>
  <c r="I60" i="5" s="1"/>
  <c r="H59" i="5"/>
  <c r="H58" i="5"/>
  <c r="I58" i="5" s="1"/>
  <c r="H57" i="5"/>
  <c r="H56" i="5"/>
  <c r="H49" i="5"/>
  <c r="I49" i="5" s="1"/>
  <c r="H48" i="5"/>
  <c r="I48" i="5" s="1"/>
  <c r="H47" i="5"/>
  <c r="H46" i="5"/>
  <c r="I46" i="5" s="1"/>
  <c r="H44" i="5"/>
  <c r="I44" i="5" s="1"/>
  <c r="H43" i="5"/>
  <c r="I43" i="5" s="1"/>
  <c r="H42" i="5"/>
  <c r="I42" i="5" s="1"/>
  <c r="H37" i="5"/>
  <c r="I37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38" i="5" s="1"/>
  <c r="I38" i="5" s="1"/>
  <c r="H22" i="5"/>
  <c r="I22" i="5" s="1"/>
  <c r="H21" i="5"/>
  <c r="I21" i="5" s="1"/>
  <c r="H36" i="5" s="1"/>
  <c r="I36" i="5" s="1"/>
  <c r="H20" i="5"/>
  <c r="I20" i="5" s="1"/>
  <c r="H15" i="5"/>
  <c r="I15" i="5" s="1"/>
  <c r="I47" i="5" l="1"/>
  <c r="I53" i="5" s="1"/>
  <c r="E18" i="6" s="1"/>
  <c r="I18" i="6" s="1"/>
  <c r="I74" i="5"/>
  <c r="E24" i="6" s="1"/>
  <c r="I24" i="6" s="1"/>
  <c r="I61" i="5"/>
  <c r="I57" i="5"/>
  <c r="I56" i="5"/>
  <c r="E79" i="5"/>
  <c r="E80" i="5"/>
  <c r="I80" i="5" s="1"/>
  <c r="I83" i="5"/>
  <c r="E78" i="5"/>
  <c r="I78" i="5" s="1"/>
  <c r="E77" i="5"/>
  <c r="I77" i="5" s="1"/>
  <c r="I63" i="5"/>
  <c r="I59" i="5"/>
  <c r="F22" i="6"/>
  <c r="G22" i="6"/>
  <c r="J22" i="6"/>
  <c r="K22" i="6"/>
  <c r="H22" i="6"/>
  <c r="I17" i="5"/>
  <c r="E14" i="6" s="1"/>
  <c r="I14" i="6" s="1"/>
  <c r="I39" i="5"/>
  <c r="E16" i="6" s="1"/>
  <c r="I16" i="6" s="1"/>
  <c r="I65" i="5" l="1"/>
  <c r="E20" i="6" s="1"/>
  <c r="G14" i="6"/>
  <c r="J16" i="6"/>
  <c r="J14" i="6"/>
  <c r="H24" i="6"/>
  <c r="G24" i="6"/>
  <c r="J24" i="6"/>
  <c r="K24" i="6"/>
  <c r="F24" i="6"/>
  <c r="G18" i="6"/>
  <c r="J18" i="6"/>
  <c r="K18" i="6"/>
  <c r="H18" i="6"/>
  <c r="K16" i="6"/>
  <c r="F14" i="6"/>
  <c r="H16" i="6"/>
  <c r="K14" i="6"/>
  <c r="G16" i="6"/>
  <c r="F18" i="6"/>
  <c r="H14" i="6"/>
  <c r="F16" i="6"/>
  <c r="I79" i="5"/>
  <c r="E81" i="5"/>
  <c r="I81" i="5" s="1"/>
  <c r="I86" i="5" l="1"/>
  <c r="I20" i="6"/>
  <c r="H20" i="6"/>
  <c r="F20" i="6"/>
  <c r="J20" i="6"/>
  <c r="K20" i="6"/>
  <c r="G20" i="6"/>
  <c r="I87" i="5" l="1"/>
  <c r="F89" i="5" s="1"/>
  <c r="H89" i="5" s="1"/>
  <c r="I89" i="5" s="1"/>
  <c r="I90" i="5" s="1"/>
  <c r="E28" i="6" s="1"/>
  <c r="E26" i="6"/>
  <c r="I92" i="5" l="1"/>
  <c r="I26" i="6"/>
  <c r="J26" i="6"/>
  <c r="K26" i="6"/>
  <c r="F26" i="6"/>
  <c r="H26" i="6"/>
  <c r="G26" i="6"/>
  <c r="E38" i="6"/>
  <c r="E27" i="6" s="1"/>
  <c r="H28" i="6"/>
  <c r="G28" i="6"/>
  <c r="K28" i="6"/>
  <c r="J28" i="6"/>
  <c r="I28" i="6"/>
  <c r="F28" i="6"/>
  <c r="G38" i="6" l="1"/>
  <c r="G37" i="6" s="1"/>
  <c r="E25" i="6"/>
  <c r="H38" i="6"/>
  <c r="H37" i="6" s="1"/>
  <c r="K38" i="6"/>
  <c r="K37" i="6" s="1"/>
  <c r="J38" i="6"/>
  <c r="J37" i="6" s="1"/>
  <c r="F38" i="6"/>
  <c r="I38" i="6"/>
  <c r="I37" i="6" s="1"/>
  <c r="E31" i="6"/>
  <c r="E15" i="6"/>
  <c r="F10" i="6"/>
  <c r="E35" i="6"/>
  <c r="E19" i="6"/>
  <c r="E13" i="6"/>
  <c r="E33" i="6"/>
  <c r="E17" i="6"/>
  <c r="E29" i="6"/>
  <c r="E21" i="6"/>
  <c r="E23" i="6"/>
  <c r="F37" i="6" l="1"/>
  <c r="E37" i="6"/>
</calcChain>
</file>

<file path=xl/sharedStrings.xml><?xml version="1.0" encoding="utf-8"?>
<sst xmlns="http://schemas.openxmlformats.org/spreadsheetml/2006/main" count="893" uniqueCount="423">
  <si>
    <t xml:space="preserve">DESCRIÇÃO                               </t>
  </si>
  <si>
    <t>SERVIÇOS PRELIMINARES</t>
  </si>
  <si>
    <t>SERVIÇOS DIVERSOS</t>
  </si>
  <si>
    <t xml:space="preserve">UN </t>
  </si>
  <si>
    <t>ADUTORA DE ÁGUA BRUTA</t>
  </si>
  <si>
    <t>ESTAÇÃO DE TRATAMENTO DE ÁGUA</t>
  </si>
  <si>
    <t>REDE DISTRIBUIÇÃO DE ÁGUA</t>
  </si>
  <si>
    <t/>
  </si>
  <si>
    <t xml:space="preserve">M2                  </t>
  </si>
  <si>
    <t xml:space="preserve">M                   </t>
  </si>
  <si>
    <t xml:space="preserve">UN                  </t>
  </si>
  <si>
    <t xml:space="preserve">M3                  </t>
  </si>
  <si>
    <t xml:space="preserve">MOBILIZACAO E DESLOCAMENTO DAS EQUIPES, EQUIPAMENTOS, MATERIAIS E FERRAMENTAS PARA PERFURACAO DE POCOS COM SONDAROTO-PNEUMATICA                                                                                                                 </t>
  </si>
  <si>
    <t xml:space="preserve">KM                  </t>
  </si>
  <si>
    <t xml:space="preserve">MOBILIZACAO E DESLOCAMENTO DAS EQUIPES, EQUIPAMENTOS, MATERIAIS E FERRAMENTAS PARA DESENVOLVIMENTO E TESTE DE VAZAO DEPOCO PROFUNDO , COM COMPRESSOR                                                                                            </t>
  </si>
  <si>
    <t xml:space="preserve">PERFURACAO EM ALUVIAO E CAMADAS INCONSISTENTES - DIAMETRO DO FURO = 8.1/2"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</si>
  <si>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10"                                                                                                                                                                         </t>
  </si>
  <si>
    <t xml:space="preserve">PERFURACAO EM ALUVIAO E CAMADAS INCONSISTENTES - DIAMETRO DO FURO = 12"                                                                                                                                                                         </t>
  </si>
  <si>
    <t xml:space="preserve">PERFURACAO EM ROCHA SA - DIAMETRO DO FURO = 6"                                                                                                                                                                                                  </t>
  </si>
  <si>
    <t xml:space="preserve">PERFURACAO EM ROCHA SA - DIAMETRO DO FURO = 8"                                                                                                                                                                                                  </t>
  </si>
  <si>
    <t xml:space="preserve">PRODUTO QUIMICO PARA REMOCAO DE FLUIDO DE PERFURACAO E LIMPEZA DE POCO TUBULAR PROFUNDO - FORNECIMENTO E APLICACAO                                                                                                                              </t>
  </si>
  <si>
    <t xml:space="preserve">KG                  </t>
  </si>
  <si>
    <t xml:space="preserve">PRE-FILTRO COM PEDRA BRITADA                                                                                                                                                                                                                    </t>
  </si>
  <si>
    <t xml:space="preserve">TUBULACAO PARA ALIMENTACAO DE PRE-FILTRO PARA POCO TUBULAR PROFUNDO - FORNECIMENTO E INSTALACAO                                                                                                                                                 </t>
  </si>
  <si>
    <t xml:space="preserve">CIMENTACAO DO ESPACO ANELAR COM ARGAMASSA DE CIMENTO E AREIA NO TRACO DE 1:3                                                                                                                                                                    </t>
  </si>
  <si>
    <t xml:space="preserve">LAJE EM CONCRETO SIMPLES, CONSUMO MINIMO DE CIMENTO DE 200 KG/M3, ESPESSURA = 20 CM, DIAMETRO = 2,50 M                                                                                                                                          </t>
  </si>
  <si>
    <t xml:space="preserve">TAMPA DE PROTECAO DO POCO PROFUNDO EM ACO PRETO LISO DIN2440                                                                                                                                                                                    </t>
  </si>
  <si>
    <t>M</t>
  </si>
  <si>
    <t xml:space="preserve">DESINFECCAO DE POCO COM UTILIZACAO DE PRODUTOS QUIMICOS                                                                                                                                                                                         </t>
  </si>
  <si>
    <t xml:space="preserve">ANALISE FISICO-QUIMICA                                                                                                                                                                                                                          </t>
  </si>
  <si>
    <t xml:space="preserve">ANALISE BACTERIOLOGICA                                                                                                                                                                                                                          </t>
  </si>
  <si>
    <t xml:space="preserve">LIMPEZA TERRENO COM RASPAGEM MANUAL                                                                                                                                                                                                             </t>
  </si>
  <si>
    <t xml:space="preserve">CAIXA DE PASSAGEM EM ALVENARIA (0,30 X 0,30 X 0,30 M)                                                                                                                                                                                           </t>
  </si>
  <si>
    <t xml:space="preserve">MURETA PADRAO CEMIG PARA SUB-ESTACAO AEREA DE ATE 75 KVA                                                                                                                                                                                        </t>
  </si>
  <si>
    <t>UN</t>
  </si>
  <si>
    <t xml:space="preserve">LOCACAO DE EIXO - AREA RURAL                                                                                                                                                                                                                    </t>
  </si>
  <si>
    <t xml:space="preserve">ESCAVACAO MECANICA DE VALAS (SOLO SECO), PROFUNDIDADE ATE 1,50 M                                                                                                                                                                                </t>
  </si>
  <si>
    <t xml:space="preserve">ATERRO DE VALAS E CAVAS DE FUNDACAO, C/ AVALIACAO VISUAL DA COMPACTACAO                                                                                                                                                                         </t>
  </si>
  <si>
    <t xml:space="preserve">ASSENTAMENTO DE TUBOS E CONEXOES PVC JS DN 40 DE 50 MM                                                                                                                                                                                          </t>
  </si>
  <si>
    <t>ITEM</t>
  </si>
  <si>
    <t>PREÇO TOTAL</t>
  </si>
  <si>
    <t>01.</t>
  </si>
  <si>
    <t>01.01</t>
  </si>
  <si>
    <t>01.01.01</t>
  </si>
  <si>
    <t>01.01.02</t>
  </si>
  <si>
    <t>02.</t>
  </si>
  <si>
    <t>02.01</t>
  </si>
  <si>
    <t>02.01.01</t>
  </si>
  <si>
    <t>02.01.02</t>
  </si>
  <si>
    <t>02.01.03</t>
  </si>
  <si>
    <t>02.01.04</t>
  </si>
  <si>
    <t>02.01.05</t>
  </si>
  <si>
    <t>02.01.06</t>
  </si>
  <si>
    <t>02.01.07</t>
  </si>
  <si>
    <t>02.01.08</t>
  </si>
  <si>
    <t>02.01.09</t>
  </si>
  <si>
    <t>02.01.10</t>
  </si>
  <si>
    <t>02.01.11</t>
  </si>
  <si>
    <t>02.01.12</t>
  </si>
  <si>
    <t>02.01.13</t>
  </si>
  <si>
    <t>02.01.14</t>
  </si>
  <si>
    <t>02.01.15</t>
  </si>
  <si>
    <t>02.01.16</t>
  </si>
  <si>
    <t>02.01.17</t>
  </si>
  <si>
    <t>03.</t>
  </si>
  <si>
    <t>03.01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</si>
  <si>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</si>
  <si>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</si>
  <si>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</si>
  <si>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</si>
  <si>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</si>
  <si>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</si>
  <si>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</si>
  <si>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</si>
  <si>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</si>
  <si>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</si>
  <si>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</si>
  <si>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04.</t>
  </si>
  <si>
    <t>04.01</t>
  </si>
  <si>
    <t>04.01.01</t>
  </si>
  <si>
    <t>04.01.02</t>
  </si>
  <si>
    <t>04.01.03</t>
  </si>
  <si>
    <t>04.01.04</t>
  </si>
  <si>
    <t>04.01.05</t>
  </si>
  <si>
    <t>04.01.06</t>
  </si>
  <si>
    <t>04.01.07</t>
  </si>
  <si>
    <t>05.</t>
  </si>
  <si>
    <t>05.01</t>
  </si>
  <si>
    <t>05.01.01</t>
  </si>
  <si>
    <t>06.</t>
  </si>
  <si>
    <t>06.01</t>
  </si>
  <si>
    <t>06.01.01</t>
  </si>
  <si>
    <t>06.01.02</t>
  </si>
  <si>
    <t>07.</t>
  </si>
  <si>
    <t>07.01.01</t>
  </si>
  <si>
    <t>07.01.02</t>
  </si>
  <si>
    <t>07.01.03</t>
  </si>
  <si>
    <t>07.01.04</t>
  </si>
  <si>
    <t>07.01.05</t>
  </si>
  <si>
    <t>07.01.06</t>
  </si>
  <si>
    <t>07.01.07</t>
  </si>
  <si>
    <t>07.01.08</t>
  </si>
  <si>
    <t>07.01.09</t>
  </si>
  <si>
    <t>08.</t>
  </si>
  <si>
    <t>08.01</t>
  </si>
  <si>
    <t>UNID.</t>
  </si>
  <si>
    <t>SISTEMA SIMPLIFICADO DE ABASTECIMENTO DE ÁGUA - POÇO TUBULAR PROFUNDO</t>
  </si>
  <si>
    <t>04.01.08</t>
  </si>
  <si>
    <t>COTAÇÃO</t>
  </si>
  <si>
    <t>COPASA</t>
  </si>
  <si>
    <t>REFERÊNCIA</t>
  </si>
  <si>
    <t>INSTALAÇÕES PRELIMINARES</t>
  </si>
  <si>
    <t>MOBILIZAÇÃO E DESMOBILIZAÇÃO</t>
  </si>
  <si>
    <t>%</t>
  </si>
  <si>
    <t>SUB - TOTAL DO ITEM 01</t>
  </si>
  <si>
    <t>SUB - TOTAL DO ITEM 02</t>
  </si>
  <si>
    <t xml:space="preserve">INSTALACOES PROVISORIAS  PARA BARRACAO DE OBRAS PARA PERFURACAO DE POCO                                                                                                                                                                             </t>
  </si>
  <si>
    <t>SUB - TOTAL DO ITEM 03</t>
  </si>
  <si>
    <t>SUB - TOTAL DO ITEM 04</t>
  </si>
  <si>
    <t>SUB - TOTAL DO ITEM 05</t>
  </si>
  <si>
    <t>SUB - TOTAL DO ITEM 06</t>
  </si>
  <si>
    <t>SUB - TOTAL DO ITEM 07</t>
  </si>
  <si>
    <t>65000007 (COPASA)</t>
  </si>
  <si>
    <t>65001069 (COPASA)</t>
  </si>
  <si>
    <t>65001070 (COPASA)</t>
  </si>
  <si>
    <t>65001071 (COPASA)</t>
  </si>
  <si>
    <t>65001090 (COPASA)</t>
  </si>
  <si>
    <t>65001091 (COPASA)</t>
  </si>
  <si>
    <t>65001092 (COPASA)</t>
  </si>
  <si>
    <t>65001093 (COPASA)</t>
  </si>
  <si>
    <t>65001094 (COPASA)</t>
  </si>
  <si>
    <t>65001098 (COPASA)</t>
  </si>
  <si>
    <t>65001105 (COPASA)</t>
  </si>
  <si>
    <t>65001103 (COPASA)</t>
  </si>
  <si>
    <t>65001101 (COPASA)</t>
  </si>
  <si>
    <t>65001107 (COPASA)</t>
  </si>
  <si>
    <t>65001108 (COPASA)</t>
  </si>
  <si>
    <t>65001106 (COPASA)</t>
  </si>
  <si>
    <t>65001114 (COPASA)</t>
  </si>
  <si>
    <t>65001115 (COPASA)</t>
  </si>
  <si>
    <t>65000173  (COPASA)</t>
  </si>
  <si>
    <t>65000054  (COPASA)</t>
  </si>
  <si>
    <t>65000386  (COPASA)</t>
  </si>
  <si>
    <t>65000054 (COPASA)</t>
  </si>
  <si>
    <t>65001169  (COPASA)</t>
  </si>
  <si>
    <t>65000336  (COPASA)</t>
  </si>
  <si>
    <t>65001083  (COPASA)</t>
  </si>
  <si>
    <t>65001654  (COPASA)</t>
  </si>
  <si>
    <t>65001078  (COPASA)</t>
  </si>
  <si>
    <t>65000160  (COPASA)</t>
  </si>
  <si>
    <t>PREÇO UNITÁRIO S/ BDI</t>
  </si>
  <si>
    <t>PREÇO UNITÁRIO C/ BDI</t>
  </si>
  <si>
    <t>QUANT.</t>
  </si>
  <si>
    <t>% DE BDI UTILIZADO</t>
  </si>
  <si>
    <t xml:space="preserve"> TOTAL GERAL</t>
  </si>
  <si>
    <t>04.01.09</t>
  </si>
  <si>
    <t>65003321 (COPASA)</t>
  </si>
  <si>
    <t xml:space="preserve">Importante: </t>
  </si>
  <si>
    <t>BDI (CONFORME ACÓRDÃO Nº 2622/13 e LEI Nº 13.161 DE 31/08/15)</t>
  </si>
  <si>
    <t>DISCRIMINAÇÃO DAS PARCELAS</t>
  </si>
  <si>
    <t>CONSTRUÇÃO DE EDIFÍCIOS</t>
  </si>
  <si>
    <t>DIFERENCIADO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</si>
  <si>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</si>
  <si>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</si>
  <si>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</si>
  <si>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</si>
  <si>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</si>
  <si>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</si>
  <si>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</si>
  <si>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</si>
  <si>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</si>
  <si>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</si>
  <si>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</si>
  <si>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</si>
  <si>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</si>
  <si>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</si>
  <si>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</si>
  <si>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</si>
  <si>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</si>
  <si>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t>-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</si>
  <si>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</si>
  <si>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</si>
  <si>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</si>
  <si>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</si>
  <si>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</si>
  <si>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</si>
  <si>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</si>
  <si>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BDI (NUMERADOR)</t>
  </si>
  <si>
    <t>BDI (DENOMINADOR)</t>
  </si>
  <si>
    <t>BDI</t>
  </si>
  <si>
    <t>OBSERVAÇÕES</t>
  </si>
  <si>
    <r>
      <t xml:space="preserve">SIG.
</t>
    </r>
    <r>
      <rPr>
        <b/>
        <vertAlign val="superscript"/>
        <sz val="10"/>
        <color theme="0"/>
        <rFont val="Calibri"/>
        <family val="2"/>
      </rPr>
      <t>(1)</t>
    </r>
  </si>
  <si>
    <r>
      <t xml:space="preserve">INC.
</t>
    </r>
    <r>
      <rPr>
        <b/>
        <vertAlign val="superscript"/>
        <sz val="10"/>
        <color theme="0"/>
        <rFont val="Calibri"/>
        <family val="2"/>
      </rPr>
      <t>(5)</t>
    </r>
  </si>
  <si>
    <r>
      <t xml:space="preserve">ISS </t>
    </r>
    <r>
      <rPr>
        <b/>
        <vertAlign val="superscript"/>
        <sz val="10"/>
        <color theme="0"/>
        <rFont val="Calibri"/>
        <family val="2"/>
      </rPr>
      <t>(2)</t>
    </r>
  </si>
  <si>
    <r>
      <t xml:space="preserve">MATERIAL
</t>
    </r>
    <r>
      <rPr>
        <b/>
        <vertAlign val="superscript"/>
        <sz val="10"/>
        <color theme="0"/>
        <rFont val="Calibri"/>
        <family val="2"/>
      </rPr>
      <t>(3)</t>
    </r>
  </si>
  <si>
    <r>
      <t xml:space="preserve">SERVIÇO TERCEIRIZADO </t>
    </r>
    <r>
      <rPr>
        <b/>
        <vertAlign val="superscript"/>
        <sz val="10"/>
        <color theme="0"/>
        <rFont val="Calibri"/>
        <family val="2"/>
      </rPr>
      <t xml:space="preserve">(4)
 </t>
    </r>
    <r>
      <rPr>
        <b/>
        <sz val="10"/>
        <color theme="0"/>
        <rFont val="Calibri"/>
        <family val="2"/>
      </rPr>
      <t>(ISS=5%)</t>
    </r>
  </si>
  <si>
    <r>
      <t>ISS</t>
    </r>
    <r>
      <rPr>
        <vertAlign val="superscript"/>
        <sz val="10"/>
        <rFont val="Calibri"/>
        <family val="2"/>
      </rPr>
      <t>(2)</t>
    </r>
  </si>
  <si>
    <r>
      <rPr>
        <vertAlign val="superscript"/>
        <sz val="10"/>
        <rFont val="Calibri"/>
        <family val="2"/>
      </rPr>
      <t xml:space="preserve">(1) </t>
    </r>
    <r>
      <rPr>
        <sz val="10"/>
        <rFont val="Calibri"/>
        <family val="2"/>
      </rPr>
      <t>SIGLA.</t>
    </r>
    <r>
      <rPr>
        <vertAlign val="superscript"/>
        <sz val="10"/>
        <rFont val="Calibri"/>
        <family val="2"/>
      </rPr>
      <t xml:space="preserve">
(2) </t>
    </r>
    <r>
      <rPr>
        <sz val="10"/>
        <rFont val="Calibri"/>
        <family val="2"/>
      </rPr>
      <t xml:space="preserve">QUANTO AO ISS O TCU ORIENTA OBSERVAR A LEGISLAÇÃO DO MUNICÍPIO. NO REFERIDO ACÓRDÃO O TCU PARTIU DA PREMISSA DE INCIDÊNCIA DO ISS EM 50% DO PREÇO DE VENDA, COM PERCENTUAIS DE 2%, 3%, 4% E 5%.
</t>
    </r>
    <r>
      <rPr>
        <vertAlign val="superscript"/>
        <sz val="10"/>
        <rFont val="Calibri"/>
        <family val="2"/>
      </rPr>
      <t xml:space="preserve">(3) </t>
    </r>
    <r>
      <rPr>
        <sz val="10"/>
        <rFont val="Calibri"/>
        <family val="2"/>
      </rPr>
      <t xml:space="preserve">BDI DIFERENCIADO A SER APLICADO EM CASOS DE FORNECIMENTO DE MATERIAIS E EQUIPAMENTOS. EX. ELEVADOR, ESCADAS ROLANTES, EQUIPAMENTOS DE REFRIGERAÇÃO ETC.
</t>
    </r>
    <r>
      <rPr>
        <vertAlign val="superscript"/>
        <sz val="10"/>
        <rFont val="Calibri"/>
        <family val="2"/>
      </rPr>
      <t xml:space="preserve">(4) </t>
    </r>
    <r>
      <rPr>
        <sz val="10"/>
        <rFont val="Calibri"/>
        <family val="2"/>
      </rPr>
      <t xml:space="preserve">BDI DIFERENCIADO A SER APLICADO PARA SERVIÇOS TERCEIRIZADOS.
</t>
    </r>
    <r>
      <rPr>
        <vertAlign val="superscript"/>
        <sz val="10"/>
        <rFont val="Calibri"/>
        <family val="2"/>
      </rPr>
      <t xml:space="preserve">(5) </t>
    </r>
    <r>
      <rPr>
        <sz val="10"/>
        <rFont val="Calibri"/>
        <family val="2"/>
      </rPr>
      <t>INCIDÊNCIA.</t>
    </r>
  </si>
  <si>
    <t>PLACA DE IDENTIFICACAO DE OBRA PADRAO COPASA FORNECIMENTO E INSTALACAO (3,00X1,50)</t>
  </si>
  <si>
    <t>REGULARIZACAO E COMPACTACAO MANUAL DE FUNDO DE VALA</t>
  </si>
  <si>
    <t>MOBILIZAÇÃO E DESMOBILIZAÇÃO DE OBRA EM CENTRO URBANO OU REGIÃO LIMÍTROFE COM VALOR ATÉ O VALOR DE 1.000.000,00</t>
  </si>
  <si>
    <t>ED-50392 (SEINFRA)</t>
  </si>
  <si>
    <t>TUBO PVC PBA JEI, CLASSE 12, DN 50 MM, PARA REDE DE AGUA (NBR 5647)</t>
  </si>
  <si>
    <t>PLANILHA ORÇAMENTÁRIA DE CUSTOS</t>
  </si>
  <si>
    <t>CÓDIGO</t>
  </si>
  <si>
    <t>ETAPAS/DESCRIÇÃO</t>
  </si>
  <si>
    <t>FÍSICO/ FINANCEIRO</t>
  </si>
  <si>
    <t>TOTAL  ETAPAS</t>
  </si>
  <si>
    <t>MÊS 01</t>
  </si>
  <si>
    <t>MÊS 02</t>
  </si>
  <si>
    <t>MÊS 03</t>
  </si>
  <si>
    <t>MÊS 04</t>
  </si>
  <si>
    <t>MÊS 05</t>
  </si>
  <si>
    <t>MÊS 06</t>
  </si>
  <si>
    <t>Físico %</t>
  </si>
  <si>
    <t>Financeiro</t>
  </si>
  <si>
    <t>TOTAL</t>
  </si>
  <si>
    <t xml:space="preserve"> </t>
  </si>
  <si>
    <t>Observações:</t>
  </si>
  <si>
    <t>CONTRATANTE: MUNICÍPIO DE IBERTIOGA-MG.</t>
  </si>
  <si>
    <t>PLANILHA DE LEVANTAMENTO DE SERVIÇOS</t>
  </si>
  <si>
    <t>(M)</t>
  </si>
  <si>
    <t>(M2)</t>
  </si>
  <si>
    <t>ESTRADA DE ACESSO - COMUNIDADE AGUADA</t>
  </si>
  <si>
    <t>COMUNIDADE CAPOEIRAS</t>
  </si>
  <si>
    <t>COMUNIDADE FLORENÇA</t>
  </si>
  <si>
    <t>REDE ADUTORA</t>
  </si>
  <si>
    <t>REDE DE DISTRIBUIÇÃO DE ÁGUA</t>
  </si>
  <si>
    <t>TUBO PVC - D=50MM</t>
  </si>
  <si>
    <t>(UNID)</t>
  </si>
  <si>
    <t>QUANT. DE POÇOS =</t>
  </si>
  <si>
    <t>QUANT. UNIT.</t>
  </si>
  <si>
    <t>QUANT. TOTAL</t>
  </si>
  <si>
    <t>RESERVATÓRIO DE ÁGUA POTÁVEL</t>
  </si>
  <si>
    <t>7.01</t>
  </si>
  <si>
    <t>SUB - TOTAL DOS ITENS 1 AO 07</t>
  </si>
  <si>
    <t>RECOMP. PAVIMENTO</t>
  </si>
  <si>
    <t>CALÇAMENTO</t>
  </si>
  <si>
    <t>MEMÓRIA DE CÁLCULO - RESERVATÓRIO DE ÁGUA POTÁVEL</t>
  </si>
  <si>
    <t>DESNÍVEL: CAPTAÇÃO-RESERVATÓRIO</t>
  </si>
  <si>
    <t>POÇO</t>
  </si>
  <si>
    <t>RESERVATÓRIO</t>
  </si>
  <si>
    <t>COTAS</t>
  </si>
  <si>
    <t>VALOR DO INVESTIMENTO:</t>
  </si>
  <si>
    <t>ALIMENTAÇÃO BÓIA DE NÍVEL</t>
  </si>
  <si>
    <t>CABOS DE COBRE PP 2X2,50MM2</t>
  </si>
  <si>
    <t>RESERVATÓRIOS DE POLIESTILENO</t>
  </si>
  <si>
    <t xml:space="preserve">LOCAL: </t>
  </si>
  <si>
    <t>K1 =</t>
  </si>
  <si>
    <t>LITROS HABITANTES/DIA</t>
  </si>
  <si>
    <t>NÚMERO DE UNIDADES HABITACIONAIS =</t>
  </si>
  <si>
    <t>NÚMERO DE HABITANTES POR UNIDADE=</t>
  </si>
  <si>
    <t>ASSIM TEREMOS:</t>
  </si>
  <si>
    <t>V=</t>
  </si>
  <si>
    <t>*</t>
  </si>
  <si>
    <t>=</t>
  </si>
  <si>
    <t>LITROS</t>
  </si>
  <si>
    <t>CONCLUINDO =</t>
  </si>
  <si>
    <t>HAB.</t>
  </si>
  <si>
    <t>POPULAÇÃO DE PROJETO (PP) =</t>
  </si>
  <si>
    <t>PP</t>
  </si>
  <si>
    <t>- PREVISÃO FUTURA</t>
  </si>
  <si>
    <t>VOLUME DO RESERVATÓRIO PARA 1/3 DA CAPACIDADE DIÁRIA (8 HORAS)</t>
  </si>
  <si>
    <t>CONSUMO POR HABITANTE (CHAB) =</t>
  </si>
  <si>
    <t>CHAB</t>
  </si>
  <si>
    <t>K1</t>
  </si>
  <si>
    <t>AUTORIZAÇÃO PARA PERFURAÇÃO DE POÇO TUBULAR</t>
  </si>
  <si>
    <t xml:space="preserve">TABELA SEMAD  </t>
  </si>
  <si>
    <t>ALTURA DE RECALQUE</t>
  </si>
  <si>
    <t>DIMENSIONAMENTO DE MOBOMBAS</t>
  </si>
  <si>
    <t>AMT =</t>
  </si>
  <si>
    <t>ALTURA MANOMÉTRICA TOTAL = PRESSÃO DE TRABALHO</t>
  </si>
  <si>
    <t>ALTURA DE SUCÇÃO (ALTURA DA ÁGUA ATÉ A BOMBA)</t>
  </si>
  <si>
    <t>AS =</t>
  </si>
  <si>
    <t>AR =</t>
  </si>
  <si>
    <t>ALTURA DE RECALQUE (ALTURA DA BOMBA ATÉ A ENTRADA DO RESERVATÓRIO)</t>
  </si>
  <si>
    <t>PC =</t>
  </si>
  <si>
    <t>PERDA DE CARGA</t>
  </si>
  <si>
    <t>(AS + AR + PC) + 5,00%</t>
  </si>
  <si>
    <t>MOTOBOMBA</t>
  </si>
  <si>
    <t>COMPRIMENTO TOTAL DA TUBULAÇÃO</t>
  </si>
  <si>
    <t>VAZÃO ESTIMADA DO POÇO</t>
  </si>
  <si>
    <t>ALIMENTAÇÃO DO QUADRO DE COMANDO ATÉ A MOTOBOMBA</t>
  </si>
  <si>
    <t>DEMONSTRATIVO DO BDI - COM DESONERAÇÃO</t>
  </si>
  <si>
    <t>CRONOGRAMA FÍSICO-FINANCEIRO</t>
  </si>
  <si>
    <t>CTB =</t>
  </si>
  <si>
    <t>VAZÃO ESTIMADA DO POÇO =</t>
  </si>
  <si>
    <t>M3/H</t>
  </si>
  <si>
    <t>VALOR TABELADO DA PERDA DE CARGA =</t>
  </si>
  <si>
    <t>(M3/H)</t>
  </si>
  <si>
    <t>CTB * VALOR TABELADO</t>
  </si>
  <si>
    <t>CONCLUINDO:</t>
  </si>
  <si>
    <t>MCA</t>
  </si>
  <si>
    <t>PARA TUBULAÇÕES DE PVC DE 2" (50MM)</t>
  </si>
  <si>
    <t>* A PERDA DE CARGA DEVERÁ SER CALCULADA ATRAVÉS DA VAZÃO EM M3/H, UTILIZANDO TABELA DE PERDA DE CARGAS</t>
  </si>
  <si>
    <t>MOTOBOMBA SUBMERSA DE 4", MONOFÁSICA, 3 FIOS, 230 V, SUB ROTOR FECHADO DE 5CV - SUB25-50S4E23</t>
  </si>
  <si>
    <t>DEVERÃO SER APROVEITADOS OS RESERVATÓRIOS EXISTENTES</t>
  </si>
  <si>
    <t>IMPORTANTE:</t>
  </si>
  <si>
    <t>NÃO SERÁ NECESSÁRIO A INSTALAÇÃO DE RESERVATÓRIO</t>
  </si>
  <si>
    <t>DE ACORDO COM O DIMENSIONAMENTO, EM TODOS OS POÇOS, DEVERÃO SER UTILIZADOS O MESMO MODELO DE MOTOBOMBA:</t>
  </si>
  <si>
    <t>EXECUÇÃO DE RADIER, ESPESSURA DE 10 CM, FCK = 30 MPA, COM USO DE FORMAS EM MADEIRA SERRADA. AF_09/2021</t>
  </si>
  <si>
    <t>97101 (SINAPI)</t>
  </si>
  <si>
    <t>EXECUÇÃO DE RADIER - E=10CM</t>
  </si>
  <si>
    <t>COTAÇÕES DE MATERIAIS</t>
  </si>
  <si>
    <t xml:space="preserve">ITEM </t>
  </si>
  <si>
    <t>ELETRODUTO CORRUGADO EM PEAD 1/2" - 50,00M</t>
  </si>
  <si>
    <t>FORNEDEDOR 1</t>
  </si>
  <si>
    <t>FORNEDEDOR 2</t>
  </si>
  <si>
    <t>FORNEDEDOR 3</t>
  </si>
  <si>
    <t>MEDIANA</t>
  </si>
  <si>
    <t>(R$)</t>
  </si>
  <si>
    <t>CASA E CONSTRUÇÃO</t>
  </si>
  <si>
    <t>MERCADO LIVRE</t>
  </si>
  <si>
    <t>SHOPEE</t>
  </si>
  <si>
    <t>MAGULU</t>
  </si>
  <si>
    <t>C. P/M</t>
  </si>
  <si>
    <t>ELÉTRICA LIMA</t>
  </si>
  <si>
    <t>AMERICANAS</t>
  </si>
  <si>
    <t>JAUNIBRAS</t>
  </si>
  <si>
    <t>MAGAZINE LUÍZA</t>
  </si>
  <si>
    <t>BOMBA SHOPING</t>
  </si>
  <si>
    <t>SAFRA IRRIGAÇÃO</t>
  </si>
  <si>
    <t>RICARDO BOMBAS</t>
  </si>
  <si>
    <t>FERPAM</t>
  </si>
  <si>
    <t>ELÉTRICA SUZUKI</t>
  </si>
  <si>
    <t>C. P/UNID.</t>
  </si>
  <si>
    <t>COMPOSIÇÕES DE CUSTOS</t>
  </si>
  <si>
    <t>ESPECIFICAÇÃO DOS MATERIAIS</t>
  </si>
  <si>
    <t>ESPECIFICAÇÃO DOS SERVIÇOS</t>
  </si>
  <si>
    <t>PERFURAÇÃO DE POÇO TUBULAR PROFUNDO, PROFUNDIDADE MÉDIA DE 75,00M</t>
  </si>
  <si>
    <t>CONSUMO</t>
  </si>
  <si>
    <t>C. UNIT.</t>
  </si>
  <si>
    <t>C. TOTAL</t>
  </si>
  <si>
    <t>REFERÊNCIA: COTAÇÕES DE MERCADO</t>
  </si>
  <si>
    <t>1.1</t>
  </si>
  <si>
    <t>1.2</t>
  </si>
  <si>
    <t>CABO DE COBRE BIPOLAR PP 2X2.50MM2 - 100,00M</t>
  </si>
  <si>
    <t>1.3</t>
  </si>
  <si>
    <t>1.4</t>
  </si>
  <si>
    <t>SINAPI</t>
  </si>
  <si>
    <t>1.5</t>
  </si>
  <si>
    <t>FITA ISOLANTE ADESIVA ANTICHAMA, USO ATE 750 V, EM ROLO DE 19 MM X 5 M</t>
  </si>
  <si>
    <t>AUXILIAR DE ELETRICISTA COM ENCARGOS COMPLEMENTARES</t>
  </si>
  <si>
    <t>ELETRICISTA COM ENCARGOS COMPLEMENTARES</t>
  </si>
  <si>
    <t>H</t>
  </si>
  <si>
    <t>FORNECIMENTO E ASSENTAMENTO DE CABOS DE COBRE BIPOLAR PP 2X2,50MM², PROTEÇÃO 1000V, LANÇADOS EM ELETRODUTOS CORRUGADOS EM PEAD 1/2", JUNTO AAB PARA AUTOMATIZAÇÃO ATRAVÉS DE BOIAS DE NÍVEL INSTALADAS NO RESERVATÓRIO.</t>
  </si>
  <si>
    <t>BOIA ELÉTRICA AUTOMÁTICA DE NÍVEL - 25A</t>
  </si>
  <si>
    <t>FORNECIMENTO E INSTALAÇÃO DE BOIA ELÉTRICA AUTOMÁTICA DE NÍVEL - 25A</t>
  </si>
  <si>
    <t>2.1</t>
  </si>
  <si>
    <t>2.2</t>
  </si>
  <si>
    <t>2.3</t>
  </si>
  <si>
    <t>91931 (SINAPI)</t>
  </si>
  <si>
    <t>PROFUNDIDADE MÉDIA DO POÇO (M) =</t>
  </si>
  <si>
    <t>CABOS DE COBRE 6.00MM2 (3X)</t>
  </si>
  <si>
    <t>FORNECIMENTO E INSTALAÇÃO DE CABO DE COBRE FLEXÍVEL ISOLADO, 6 MM², ANTI-CHAMA 0,6/1,0 KV, PARA CIRCUITOS TERMINAIS - FORNECIMENTO E INSTALAÇÃO. AF_03/2023 - PARA ALIMENTAÇÃO DA BOMBA ATÉ O QUADRO DE COMANDO</t>
  </si>
  <si>
    <t>FORNECIMENTO E INSTALAÇÃO DE MOTOBOMBA SUBMERSA DE 4", MONOFÁSICA, 3 FIOS, 230 V, SUB ROTOR FECHADO DE 5CV - SUB25-50S4E23 - MODELO SHINDLER OU SIMILAR</t>
  </si>
  <si>
    <t xml:space="preserve">1 (COMPOSIÇÃO DE CUSTO)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</si>
  <si>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(COMPOSIÇÃO DE CUSTO)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</si>
  <si>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(COMPOSIÇÃO DE CUSTO)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</si>
  <si>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</t>
  </si>
  <si>
    <t>3.2</t>
  </si>
  <si>
    <t>3.3</t>
  </si>
  <si>
    <t xml:space="preserve">4 (COMPOSIÇÃO DE CUSTO)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</si>
  <si>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4.1</t>
  </si>
  <si>
    <t>QUADRO DE COMANDO E PROTEÇÃO COMPLETO DE 5CV 220V MONOFÁSICO</t>
  </si>
  <si>
    <t>FORNECIMENTO E INSTALAÇÃO DO QUADRO DE COMANDO E PROTEÇÃO COMPLETO PARA MOTOR 220V MONOFÁSICO, POTÊNCIA DE 5,00 C.V.</t>
  </si>
  <si>
    <t>4.2</t>
  </si>
  <si>
    <t>4.3</t>
  </si>
  <si>
    <t>40366  (INSUMO SINAPI)</t>
  </si>
  <si>
    <t>LUVA EM ACO CARBONO, SOLDAVEL, PRESSAO 3.000 LBS, DN 1 1/2"</t>
  </si>
  <si>
    <t xml:space="preserve">MONTAGEM E INSTALACAO DE POCO TUBULAR PROFUNDO, DIAMETRO DA TUBULACAO DE EXTRACAO ATÉ 2", PROFUNDIDADE DE INSTALACAO DA BOMBA ENTRE 60M  A 120M                                                                                                      </t>
  </si>
  <si>
    <t>91870 (SINAPI)</t>
  </si>
  <si>
    <t xml:space="preserve">BARRILETE PARA POCO PROFUNDO DIAM 50MM (1.1/2")                                                                                                                                                                        </t>
  </si>
  <si>
    <t>REFERÊNCIAS: PLANILHA DE PREÇOS DA COPASA SUDESDE (07/2024) / SEINFRA LESTE (04/2024) / SINAPI MG (06/2024) - TODAS COM DESONERAÇÃO; E COTAÇÕES DE MERCADO.</t>
  </si>
  <si>
    <t>ELETRODUTO RÍGIDO ROSCÁVEL, PVC, DN 20 MM (1/2"), PARA CIRCUITOS TERMINAIS, INSTALADO EM PAREDE - FORNECIMENTO E INSTALAÇÃO. AF_03/2023</t>
  </si>
  <si>
    <t>36378 (INSUMO SINAPI)</t>
  </si>
  <si>
    <t>ED-48476 (SEINFRA)</t>
  </si>
  <si>
    <t>REMOÇÃO MANUAL DE PAVIMENTAÇÃO INTERTRAVADA OU SEXTAVADO EM PRÉ-MOLDADO DE CONCRETO, COM REAPROVEITAMENTO, INCLUSIVE AFASTAMENTO E EMPILHAMENTO, EXCLUSIVE TRANSPORTE E RETIRADA DO MATERIAL REMOVIDO NÃO REAPROVEITÁVEL</t>
  </si>
  <si>
    <t>ED-50418 (SEINFRA)</t>
  </si>
  <si>
    <t>MÃO-DE-OBRA PARAEXECUÇÃO DE PAVIMENTO INTERTRAVADO EM BLOCO SEXTAVADO, ESPESSURA 8CM, FCK 35MPA, EXCLUINDO O FORNECIMENTO E TRANSPORTE DE TODOS OS MATERIAIS E COLCHÃO DE ASSENTAMENTO COM ESPESSURA 6CM]</t>
  </si>
  <si>
    <t>FORNECIMENTO E MONTAGEM DE CLORADOR DE PASTILHAS, TIPO KIT CLOR OU SIMILAR, INCLUSIVE TEST CLORD. E PASTILHAS DE CLORO.</t>
  </si>
  <si>
    <t>CLORACQUA</t>
  </si>
  <si>
    <t>SOLUÇÕES CASA E PISCINA</t>
  </si>
  <si>
    <t>UNIVERSO PISCINAS</t>
  </si>
  <si>
    <t>CLORADOR DE PASTILHAS, TIPO KIT CLOR OU SIMILAR, INCLUSIVE TEST CLORD. E PASTILHAS DE CLORO</t>
  </si>
  <si>
    <t>5.1</t>
  </si>
  <si>
    <t>5.2</t>
  </si>
  <si>
    <t>5.3</t>
  </si>
  <si>
    <t xml:space="preserve">AUXILIAR DE ENCANADOR OU BOMBEIRO HIDRÁULICO COM ENCARGOS COMPLEMENTAR </t>
  </si>
  <si>
    <t>ENCANADOR OU BOMBEIRO HIDRÁULICO COM ENCARGOS COMPLEMENTARES</t>
  </si>
  <si>
    <t xml:space="preserve">5 (COMPOSIÇÃO DE CUSTO)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</si>
  <si>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FORMA DE EXECUÇÃO: ( X ) INDIRETA</t>
  </si>
  <si>
    <t>BDI 1 =</t>
  </si>
  <si>
    <t xml:space="preserve">BD2 = </t>
  </si>
  <si>
    <t xml:space="preserve">ISS = </t>
  </si>
  <si>
    <t>PRAZO DE EXECUÇÃO: 03 (TRÊS) MESES</t>
  </si>
  <si>
    <t>65001097 (COPASA)</t>
  </si>
  <si>
    <t>C. P/M.</t>
  </si>
  <si>
    <t>SULMINAS BOMBAS</t>
  </si>
  <si>
    <t>MASTER POÇOS ARTESIANOS</t>
  </si>
  <si>
    <t>TUBO GALVANIZADO 1 1/2" - PAREDE 3.35MM GALVANIZADO A FOGO (TUBO EDUTOR)</t>
  </si>
  <si>
    <t>TUBO AÇO PRETO DE 6" - PAREDE 3.35MM (TUBO DE REVESTIMENTO)</t>
  </si>
  <si>
    <t xml:space="preserve">INSTALACAO OU RETIRADA DE REVESTIMENTO DE POCOS TUBULARES PROFUNDOS EM TUBOS DE ACO CARBONO PRETO, GALVANIZADO OU INOXIDAVEL                                                                                                                     </t>
  </si>
  <si>
    <t>COTAÇÃO 8</t>
  </si>
  <si>
    <t>02.01.18</t>
  </si>
  <si>
    <t>02.01.19</t>
  </si>
  <si>
    <t>MONTAGEM E INSTALAÇÃO DE POÇO TUBULAR PROFUNDO 1.1/2", PROFUNDIDADE MÉDIA DE 75,00M</t>
  </si>
  <si>
    <t>COTAÇÃO 7</t>
  </si>
  <si>
    <t>MENDONÇA POÇOS</t>
  </si>
  <si>
    <t>LOCALIDADES: 1 - ESTRADA DE ACESSO - COMUNIDADE AGUADA; 2 - COMUNIDADE CAPOEIRAS; 3 - COMUNIDADE FLORENÇA; E 4 - COMUNIDADE DE PORTEIRINHAS (1ª ETAPA) - ZONA RURAL - IBERTIOGA-MG</t>
  </si>
  <si>
    <t>OBRA: IMPLANTAÇÃO DE SISTEMAS SIMPLIFICADOS DE ABASTACIMENTO DE ÁGUA - 04 (QUATRO) POÇOS TUBULARES PROFUNDOS.</t>
  </si>
  <si>
    <t>DATA:  12/09/2024</t>
  </si>
  <si>
    <t>COMUNIDADE DE PORTEIRINHAS - ZONA RURAL - IBERTIOGA-MG</t>
  </si>
  <si>
    <t>DEVERÁ SER UTILIZADO RESERVATÓRIO DE 5.000L</t>
  </si>
  <si>
    <t>COMUNIDADE PORTEIRINHAS</t>
  </si>
  <si>
    <t>36084 (INSUMO SINAPI)</t>
  </si>
  <si>
    <t xml:space="preserve">ED-29742 (SEINFRA) </t>
  </si>
  <si>
    <t>CAIXA D´ÁGUA DE POLIETILENO, CAPACIDADE DE 5.000L, INCLUSIVE TAMPA, EXTRAVASOR, TUBO DE LIMPEZA E ACESSÓRIOS, EXCLUSIVE TORNEIRA BÓIA E TUBULAÇÃO DE ENTRADA/SAÍDA DE ÁGUA</t>
  </si>
  <si>
    <t>XXXXXXXXXXXXXXX</t>
  </si>
  <si>
    <t>ENGENHEIRO CIVIL - CREAMG NºXXXXXXXXXXXXXXX</t>
  </si>
  <si>
    <t>R. T. LICITANTE</t>
  </si>
  <si>
    <t>XXXXXXXXXXXXXX</t>
  </si>
  <si>
    <t>REPRESENTANTE LEGAL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</si>
</sst>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00%"/>
    <numFmt numFmtId="166" formatCode="&quot;R$ &quot;#,##0.00"/>
    <numFmt numFmtId="167" formatCode="_(* #,##0.0000000_);_(* \(#,##0.0000000\);_(* &quot;-&quot;??_);_(@_)"/>
  </numFmts>
  <fonts count="35" x14ac:knownFonts="1"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name val="Arial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b/>
      <vertAlign val="superscript"/>
      <sz val="10"/>
      <color theme="0"/>
      <name val="Calibri"/>
      <family val="2"/>
    </font>
    <font>
      <vertAlign val="superscript"/>
      <sz val="10"/>
      <name val="Calibri"/>
      <family val="2"/>
    </font>
    <font>
      <b/>
      <u/>
      <sz val="10"/>
      <name val="Calibri"/>
      <family val="2"/>
    </font>
    <font>
      <sz val="10"/>
      <color theme="1"/>
      <name val="Calibri"/>
      <family val="2"/>
    </font>
    <font>
      <b/>
      <sz val="14"/>
      <name val="Calibri"/>
      <family val="2"/>
    </font>
    <font>
      <b/>
      <sz val="8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Arial"/>
      <family val="2"/>
    </font>
    <font>
      <sz val="12"/>
      <color indexed="8"/>
      <name val="Calibri"/>
      <family val="2"/>
      <scheme val="minor"/>
    </font>
    <font>
      <b/>
      <sz val="10"/>
      <name val="Arial"/>
      <family val="2"/>
    </font>
    <font>
      <b/>
      <sz val="18"/>
      <name val="Calibri"/>
      <family val="2"/>
      <scheme val="minor"/>
    </font>
    <font>
      <sz val="10"/>
      <color theme="9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/>
  </cellStyleXfs>
  <cellXfs count="626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/>
    <xf numFmtId="0" fontId="5" fillId="2" borderId="1" xfId="0" applyFont="1" applyFill="1" applyBorder="1" applyAlignment="1">
      <alignment horizontal="center" vertical="distributed"/>
    </xf>
    <xf numFmtId="10" fontId="5" fillId="2" borderId="2" xfId="0" applyNumberFormat="1" applyFont="1" applyFill="1" applyBorder="1" applyAlignment="1">
      <alignment horizontal="center" vertical="distributed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9" fontId="5" fillId="3" borderId="9" xfId="0" applyNumberFormat="1" applyFont="1" applyFill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right" vertical="center"/>
    </xf>
    <xf numFmtId="0" fontId="5" fillId="4" borderId="11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6" fillId="0" borderId="12" xfId="3" applyFont="1" applyFill="1" applyBorder="1" applyAlignment="1">
      <alignment vertical="center"/>
    </xf>
    <xf numFmtId="164" fontId="6" fillId="0" borderId="13" xfId="3" applyFont="1" applyFill="1" applyBorder="1" applyAlignment="1">
      <alignment vertical="center"/>
    </xf>
    <xf numFmtId="0" fontId="6" fillId="2" borderId="12" xfId="0" applyFont="1" applyFill="1" applyBorder="1" applyAlignment="1">
      <alignment vertical="center" wrapText="1"/>
    </xf>
    <xf numFmtId="164" fontId="6" fillId="2" borderId="12" xfId="3" applyFont="1" applyFill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164" fontId="6" fillId="2" borderId="15" xfId="3" applyFont="1" applyFill="1" applyBorder="1" applyAlignment="1">
      <alignment vertical="center"/>
    </xf>
    <xf numFmtId="164" fontId="5" fillId="3" borderId="9" xfId="3" applyFont="1" applyFill="1" applyBorder="1" applyAlignment="1">
      <alignment vertical="center"/>
    </xf>
    <xf numFmtId="0" fontId="5" fillId="4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164" fontId="6" fillId="2" borderId="12" xfId="3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 wrapText="1"/>
    </xf>
    <xf numFmtId="164" fontId="6" fillId="2" borderId="15" xfId="3" applyFont="1" applyFill="1" applyBorder="1" applyAlignment="1">
      <alignment horizontal="center" vertical="center"/>
    </xf>
    <xf numFmtId="0" fontId="6" fillId="3" borderId="7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0" borderId="11" xfId="0" quotePrefix="1" applyFont="1" applyFill="1" applyBorder="1" applyAlignment="1">
      <alignment vertical="center" wrapText="1"/>
    </xf>
    <xf numFmtId="43" fontId="5" fillId="3" borderId="9" xfId="0" applyNumberFormat="1" applyFont="1" applyFill="1" applyBorder="1"/>
    <xf numFmtId="164" fontId="5" fillId="3" borderId="9" xfId="0" applyNumberFormat="1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164" fontId="6" fillId="2" borderId="13" xfId="3" applyFont="1" applyFill="1" applyBorder="1" applyAlignment="1">
      <alignment vertical="center"/>
    </xf>
    <xf numFmtId="0" fontId="6" fillId="2" borderId="11" xfId="0" quotePrefix="1" applyFont="1" applyFill="1" applyBorder="1" applyAlignment="1">
      <alignment vertical="center" wrapText="1"/>
    </xf>
    <xf numFmtId="164" fontId="6" fillId="2" borderId="12" xfId="3" applyFont="1" applyFill="1" applyBorder="1" applyAlignment="1">
      <alignment horizontal="left" vertical="center"/>
    </xf>
    <xf numFmtId="164" fontId="5" fillId="3" borderId="31" xfId="3" applyFont="1" applyFill="1" applyBorder="1" applyAlignment="1">
      <alignment vertical="center"/>
    </xf>
    <xf numFmtId="10" fontId="6" fillId="2" borderId="12" xfId="2" applyNumberFormat="1" applyFont="1" applyFill="1" applyBorder="1" applyAlignment="1">
      <alignment horizontal="right" vertical="center"/>
    </xf>
    <xf numFmtId="0" fontId="5" fillId="2" borderId="34" xfId="0" applyFont="1" applyFill="1" applyBorder="1" applyAlignment="1">
      <alignment horizontal="left" vertical="distributed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6" fillId="2" borderId="0" xfId="0" applyFont="1" applyFill="1" applyBorder="1"/>
    <xf numFmtId="2" fontId="6" fillId="0" borderId="0" xfId="0" applyNumberFormat="1" applyFont="1" applyFill="1" applyBorder="1"/>
    <xf numFmtId="164" fontId="6" fillId="0" borderId="0" xfId="3" applyFont="1" applyFill="1" applyBorder="1" applyAlignment="1">
      <alignment horizontal="left" vertical="center"/>
    </xf>
    <xf numFmtId="0" fontId="5" fillId="0" borderId="0" xfId="0" applyNumberFormat="1" applyFont="1" applyFill="1" applyBorder="1"/>
    <xf numFmtId="2" fontId="6" fillId="2" borderId="0" xfId="0" applyNumberFormat="1" applyFont="1" applyFill="1" applyBorder="1"/>
    <xf numFmtId="4" fontId="5" fillId="0" borderId="0" xfId="0" applyNumberFormat="1" applyFont="1" applyFill="1" applyBorder="1"/>
    <xf numFmtId="164" fontId="5" fillId="0" borderId="0" xfId="0" applyNumberFormat="1" applyFont="1" applyFill="1" applyBorder="1"/>
    <xf numFmtId="2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43" fontId="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4" fontId="6" fillId="0" borderId="0" xfId="0" applyNumberFormat="1" applyFont="1" applyFill="1" applyBorder="1"/>
    <xf numFmtId="43" fontId="6" fillId="0" borderId="0" xfId="0" applyNumberFormat="1" applyFont="1" applyFill="1" applyBorder="1"/>
    <xf numFmtId="0" fontId="6" fillId="0" borderId="19" xfId="0" applyFont="1" applyFill="1" applyBorder="1"/>
    <xf numFmtId="0" fontId="6" fillId="0" borderId="6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21" xfId="0" applyFont="1" applyFill="1" applyBorder="1" applyAlignment="1"/>
    <xf numFmtId="0" fontId="6" fillId="0" borderId="22" xfId="0" applyFont="1" applyFill="1" applyBorder="1"/>
    <xf numFmtId="0" fontId="6" fillId="0" borderId="46" xfId="0" applyFont="1" applyFill="1" applyBorder="1"/>
    <xf numFmtId="0" fontId="6" fillId="0" borderId="25" xfId="0" applyFont="1" applyFill="1" applyBorder="1"/>
    <xf numFmtId="0" fontId="6" fillId="0" borderId="25" xfId="0" applyFont="1" applyFill="1" applyBorder="1" applyAlignment="1"/>
    <xf numFmtId="0" fontId="6" fillId="0" borderId="26" xfId="0" applyFont="1" applyFill="1" applyBorder="1"/>
    <xf numFmtId="0" fontId="6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9" fontId="11" fillId="6" borderId="51" xfId="4" applyNumberFormat="1" applyFont="1" applyFill="1" applyBorder="1" applyAlignment="1">
      <alignment horizontal="center" vertical="center" wrapText="1"/>
    </xf>
    <xf numFmtId="10" fontId="10" fillId="0" borderId="51" xfId="4" applyNumberFormat="1" applyFont="1" applyBorder="1" applyAlignment="1">
      <alignment horizontal="left" vertical="center" wrapText="1"/>
    </xf>
    <xf numFmtId="10" fontId="2" fillId="0" borderId="49" xfId="4" applyNumberFormat="1" applyFont="1" applyBorder="1" applyAlignment="1">
      <alignment horizontal="center" vertical="center"/>
    </xf>
    <xf numFmtId="9" fontId="10" fillId="0" borderId="51" xfId="5" applyFont="1" applyBorder="1" applyAlignment="1">
      <alignment horizontal="center" vertical="center"/>
    </xf>
    <xf numFmtId="165" fontId="10" fillId="0" borderId="51" xfId="5" applyNumberFormat="1" applyFont="1" applyBorder="1" applyAlignment="1">
      <alignment horizontal="center" vertical="center"/>
    </xf>
    <xf numFmtId="10" fontId="10" fillId="0" borderId="51" xfId="5" applyNumberFormat="1" applyFont="1" applyBorder="1" applyAlignment="1">
      <alignment horizontal="center" vertical="center"/>
    </xf>
    <xf numFmtId="10" fontId="10" fillId="0" borderId="51" xfId="4" applyNumberFormat="1" applyFont="1" applyBorder="1" applyAlignment="1">
      <alignment horizontal="center" vertical="center"/>
    </xf>
    <xf numFmtId="10" fontId="10" fillId="0" borderId="49" xfId="4" applyNumberFormat="1" applyFont="1" applyBorder="1" applyAlignment="1">
      <alignment horizontal="center" vertical="center"/>
    </xf>
    <xf numFmtId="10" fontId="2" fillId="0" borderId="51" xfId="5" applyNumberFormat="1" applyFont="1" applyBorder="1" applyAlignment="1">
      <alignment horizontal="center" vertical="center"/>
    </xf>
    <xf numFmtId="165" fontId="2" fillId="0" borderId="51" xfId="5" applyNumberFormat="1" applyFont="1" applyBorder="1" applyAlignment="1">
      <alignment horizontal="center" vertical="center"/>
    </xf>
    <xf numFmtId="10" fontId="10" fillId="7" borderId="51" xfId="5" applyNumberFormat="1" applyFont="1" applyFill="1" applyBorder="1" applyAlignment="1">
      <alignment horizontal="center" vertical="center"/>
    </xf>
    <xf numFmtId="10" fontId="10" fillId="0" borderId="51" xfId="2" applyNumberFormat="1" applyFont="1" applyBorder="1" applyAlignment="1">
      <alignment horizontal="center" vertical="center"/>
    </xf>
    <xf numFmtId="10" fontId="15" fillId="0" borderId="51" xfId="5" applyNumberFormat="1" applyFont="1" applyBorder="1" applyAlignment="1">
      <alignment horizontal="center" vertical="center"/>
    </xf>
    <xf numFmtId="9" fontId="11" fillId="8" borderId="51" xfId="4" applyNumberFormat="1" applyFont="1" applyFill="1" applyBorder="1" applyAlignment="1">
      <alignment horizontal="center" vertical="center" wrapText="1"/>
    </xf>
    <xf numFmtId="164" fontId="6" fillId="2" borderId="15" xfId="3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vertical="center" wrapText="1"/>
    </xf>
    <xf numFmtId="0" fontId="5" fillId="3" borderId="63" xfId="0" applyFont="1" applyFill="1" applyBorder="1" applyAlignment="1">
      <alignment vertical="center" wrapText="1"/>
    </xf>
    <xf numFmtId="10" fontId="6" fillId="2" borderId="12" xfId="2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distributed"/>
    </xf>
    <xf numFmtId="10" fontId="5" fillId="2" borderId="6" xfId="2" applyNumberFormat="1" applyFont="1" applyFill="1" applyBorder="1" applyAlignment="1">
      <alignment horizontal="center" vertical="distributed"/>
    </xf>
    <xf numFmtId="43" fontId="5" fillId="3" borderId="62" xfId="0" applyNumberFormat="1" applyFont="1" applyFill="1" applyBorder="1" applyAlignment="1">
      <alignment vertical="center" wrapText="1"/>
    </xf>
    <xf numFmtId="164" fontId="5" fillId="3" borderId="8" xfId="3" applyFont="1" applyFill="1" applyBorder="1" applyAlignment="1">
      <alignment horizontal="center" vertical="center" wrapText="1"/>
    </xf>
    <xf numFmtId="164" fontId="6" fillId="0" borderId="0" xfId="3" applyFont="1"/>
    <xf numFmtId="164" fontId="6" fillId="0" borderId="12" xfId="3" applyFont="1" applyBorder="1"/>
    <xf numFmtId="164" fontId="6" fillId="0" borderId="15" xfId="3" applyFont="1" applyFill="1" applyBorder="1" applyAlignment="1">
      <alignment horizontal="center" vertical="center"/>
    </xf>
    <xf numFmtId="164" fontId="5" fillId="3" borderId="21" xfId="3" applyFont="1" applyFill="1" applyBorder="1" applyAlignment="1">
      <alignment horizontal="center" vertical="center" wrapText="1"/>
    </xf>
    <xf numFmtId="164" fontId="6" fillId="0" borderId="0" xfId="3" applyFont="1" applyFill="1" applyBorder="1" applyAlignment="1"/>
    <xf numFmtId="164" fontId="6" fillId="0" borderId="21" xfId="3" applyFont="1" applyFill="1" applyBorder="1"/>
    <xf numFmtId="164" fontId="6" fillId="0" borderId="25" xfId="3" applyFont="1" applyFill="1" applyBorder="1"/>
    <xf numFmtId="164" fontId="6" fillId="0" borderId="0" xfId="3" applyFont="1" applyFill="1" applyBorder="1"/>
    <xf numFmtId="164" fontId="4" fillId="0" borderId="0" xfId="3" applyFont="1" applyFill="1" applyBorder="1"/>
    <xf numFmtId="164" fontId="6" fillId="2" borderId="12" xfId="3" applyFont="1" applyFill="1" applyBorder="1"/>
    <xf numFmtId="164" fontId="5" fillId="2" borderId="0" xfId="0" applyNumberFormat="1" applyFont="1" applyFill="1" applyBorder="1"/>
    <xf numFmtId="164" fontId="6" fillId="0" borderId="12" xfId="3" applyFont="1" applyBorder="1" applyAlignment="1">
      <alignment vertical="center"/>
    </xf>
    <xf numFmtId="164" fontId="6" fillId="2" borderId="15" xfId="3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0" fontId="5" fillId="2" borderId="2" xfId="3" applyNumberFormat="1" applyFont="1" applyFill="1" applyBorder="1" applyAlignment="1">
      <alignment horizontal="center" vertical="distributed"/>
    </xf>
    <xf numFmtId="0" fontId="5" fillId="3" borderId="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distributed" wrapText="1"/>
    </xf>
    <xf numFmtId="0" fontId="5" fillId="2" borderId="0" xfId="0" applyFont="1" applyFill="1" applyBorder="1" applyAlignment="1">
      <alignment horizontal="left" vertical="distributed"/>
    </xf>
    <xf numFmtId="0" fontId="8" fillId="0" borderId="46" xfId="0" applyFont="1" applyBorder="1"/>
    <xf numFmtId="0" fontId="8" fillId="0" borderId="25" xfId="0" applyFont="1" applyBorder="1"/>
    <xf numFmtId="164" fontId="17" fillId="0" borderId="25" xfId="3" applyFont="1" applyBorder="1"/>
    <xf numFmtId="0" fontId="8" fillId="0" borderId="26" xfId="0" applyFont="1" applyBorder="1"/>
    <xf numFmtId="0" fontId="8" fillId="0" borderId="0" xfId="0" applyFont="1"/>
    <xf numFmtId="0" fontId="8" fillId="0" borderId="19" xfId="0" applyFont="1" applyBorder="1"/>
    <xf numFmtId="0" fontId="8" fillId="0" borderId="6" xfId="0" applyFont="1" applyBorder="1" applyAlignment="1">
      <alignment horizontal="center"/>
    </xf>
    <xf numFmtId="0" fontId="5" fillId="9" borderId="20" xfId="0" applyFont="1" applyFill="1" applyBorder="1"/>
    <xf numFmtId="0" fontId="5" fillId="9" borderId="21" xfId="0" applyFont="1" applyFill="1" applyBorder="1"/>
    <xf numFmtId="0" fontId="5" fillId="9" borderId="21" xfId="0" applyFont="1" applyFill="1" applyBorder="1" applyAlignment="1">
      <alignment wrapText="1"/>
    </xf>
    <xf numFmtId="0" fontId="5" fillId="9" borderId="22" xfId="0" applyFont="1" applyFill="1" applyBorder="1"/>
    <xf numFmtId="0" fontId="6" fillId="9" borderId="0" xfId="0" applyFont="1" applyFill="1"/>
    <xf numFmtId="0" fontId="6" fillId="9" borderId="0" xfId="0" applyFont="1" applyFill="1" applyAlignment="1">
      <alignment wrapText="1"/>
    </xf>
    <xf numFmtId="0" fontId="6" fillId="9" borderId="19" xfId="0" applyFont="1" applyFill="1" applyBorder="1"/>
    <xf numFmtId="0" fontId="6" fillId="9" borderId="6" xfId="0" applyFont="1" applyFill="1" applyBorder="1"/>
    <xf numFmtId="0" fontId="5" fillId="9" borderId="66" xfId="0" applyFont="1" applyFill="1" applyBorder="1" applyAlignment="1">
      <alignment horizontal="center" vertical="center"/>
    </xf>
    <xf numFmtId="0" fontId="5" fillId="9" borderId="67" xfId="0" applyFont="1" applyFill="1" applyBorder="1" applyAlignment="1">
      <alignment horizontal="center" vertical="center"/>
    </xf>
    <xf numFmtId="0" fontId="5" fillId="9" borderId="67" xfId="0" applyFont="1" applyFill="1" applyBorder="1" applyAlignment="1">
      <alignment horizontal="center" vertical="center" wrapText="1"/>
    </xf>
    <xf numFmtId="0" fontId="5" fillId="9" borderId="68" xfId="0" applyFont="1" applyFill="1" applyBorder="1" applyAlignment="1">
      <alignment horizontal="center" vertical="center"/>
    </xf>
    <xf numFmtId="49" fontId="19" fillId="9" borderId="69" xfId="0" applyNumberFormat="1" applyFont="1" applyFill="1" applyBorder="1" applyAlignment="1">
      <alignment horizontal="center" vertical="top" wrapText="1"/>
    </xf>
    <xf numFmtId="10" fontId="19" fillId="9" borderId="69" xfId="0" applyNumberFormat="1" applyFont="1" applyFill="1" applyBorder="1" applyAlignment="1">
      <alignment vertical="top" wrapText="1"/>
    </xf>
    <xf numFmtId="10" fontId="19" fillId="9" borderId="70" xfId="0" applyNumberFormat="1" applyFont="1" applyFill="1" applyBorder="1" applyAlignment="1">
      <alignment vertical="top" wrapText="1"/>
    </xf>
    <xf numFmtId="10" fontId="6" fillId="9" borderId="0" xfId="0" applyNumberFormat="1" applyFont="1" applyFill="1"/>
    <xf numFmtId="49" fontId="19" fillId="9" borderId="72" xfId="0" applyNumberFormat="1" applyFont="1" applyFill="1" applyBorder="1" applyAlignment="1">
      <alignment horizontal="center" vertical="top" wrapText="1"/>
    </xf>
    <xf numFmtId="4" fontId="19" fillId="9" borderId="72" xfId="0" applyNumberFormat="1" applyFont="1" applyFill="1" applyBorder="1" applyAlignment="1">
      <alignment vertical="top" wrapText="1"/>
    </xf>
    <xf numFmtId="166" fontId="20" fillId="9" borderId="72" xfId="0" applyNumberFormat="1" applyFont="1" applyFill="1" applyBorder="1" applyAlignment="1">
      <alignment vertical="top" wrapText="1"/>
    </xf>
    <xf numFmtId="166" fontId="20" fillId="9" borderId="73" xfId="0" applyNumberFormat="1" applyFont="1" applyFill="1" applyBorder="1" applyAlignment="1">
      <alignment vertical="top" wrapText="1"/>
    </xf>
    <xf numFmtId="49" fontId="19" fillId="9" borderId="72" xfId="0" applyNumberFormat="1" applyFont="1" applyFill="1" applyBorder="1" applyAlignment="1">
      <alignment horizontal="center" vertical="center" wrapText="1"/>
    </xf>
    <xf numFmtId="4" fontId="19" fillId="9" borderId="72" xfId="0" applyNumberFormat="1" applyFont="1" applyFill="1" applyBorder="1" applyAlignment="1">
      <alignment vertical="center" wrapText="1"/>
    </xf>
    <xf numFmtId="166" fontId="20" fillId="9" borderId="72" xfId="0" applyNumberFormat="1" applyFont="1" applyFill="1" applyBorder="1" applyAlignment="1">
      <alignment vertical="center" wrapText="1"/>
    </xf>
    <xf numFmtId="166" fontId="20" fillId="9" borderId="73" xfId="0" applyNumberFormat="1" applyFont="1" applyFill="1" applyBorder="1" applyAlignment="1">
      <alignment vertical="center" wrapText="1"/>
    </xf>
    <xf numFmtId="49" fontId="21" fillId="9" borderId="80" xfId="0" applyNumberFormat="1" applyFont="1" applyFill="1" applyBorder="1" applyAlignment="1">
      <alignment horizontal="center" vertical="top" wrapText="1"/>
    </xf>
    <xf numFmtId="10" fontId="19" fillId="9" borderId="80" xfId="0" applyNumberFormat="1" applyFont="1" applyFill="1" applyBorder="1" applyAlignment="1">
      <alignment vertical="top" wrapText="1"/>
    </xf>
    <xf numFmtId="10" fontId="19" fillId="9" borderId="81" xfId="0" applyNumberFormat="1" applyFont="1" applyFill="1" applyBorder="1" applyAlignment="1">
      <alignment vertical="top" wrapText="1"/>
    </xf>
    <xf numFmtId="49" fontId="21" fillId="9" borderId="83" xfId="0" applyNumberFormat="1" applyFont="1" applyFill="1" applyBorder="1" applyAlignment="1">
      <alignment horizontal="center" vertical="top" wrapText="1"/>
    </xf>
    <xf numFmtId="166" fontId="19" fillId="9" borderId="83" xfId="0" applyNumberFormat="1" applyFont="1" applyFill="1" applyBorder="1" applyAlignment="1">
      <alignment vertical="top" wrapText="1"/>
    </xf>
    <xf numFmtId="166" fontId="19" fillId="9" borderId="84" xfId="0" applyNumberFormat="1" applyFont="1" applyFill="1" applyBorder="1" applyAlignment="1">
      <alignment vertical="top" wrapText="1"/>
    </xf>
    <xf numFmtId="0" fontId="6" fillId="9" borderId="19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9" borderId="0" xfId="0" applyFont="1" applyFill="1" applyAlignment="1">
      <alignment vertical="center" wrapText="1"/>
    </xf>
    <xf numFmtId="0" fontId="6" fillId="9" borderId="6" xfId="0" applyFont="1" applyFill="1" applyBorder="1" applyAlignment="1">
      <alignment vertical="center"/>
    </xf>
    <xf numFmtId="0" fontId="5" fillId="9" borderId="46" xfId="0" applyFont="1" applyFill="1" applyBorder="1" applyAlignment="1">
      <alignment wrapText="1"/>
    </xf>
    <xf numFmtId="0" fontId="5" fillId="9" borderId="25" xfId="0" applyFont="1" applyFill="1" applyBorder="1" applyAlignment="1">
      <alignment wrapText="1"/>
    </xf>
    <xf numFmtId="0" fontId="5" fillId="9" borderId="85" xfId="0" applyFont="1" applyFill="1" applyBorder="1" applyAlignment="1">
      <alignment wrapText="1"/>
    </xf>
    <xf numFmtId="0" fontId="6" fillId="9" borderId="24" xfId="0" applyFont="1" applyFill="1" applyBorder="1"/>
    <xf numFmtId="0" fontId="6" fillId="9" borderId="25" xfId="0" applyFont="1" applyFill="1" applyBorder="1"/>
    <xf numFmtId="0" fontId="6" fillId="9" borderId="26" xfId="0" applyFont="1" applyFill="1" applyBorder="1"/>
    <xf numFmtId="0" fontId="5" fillId="9" borderId="19" xfId="0" applyFont="1" applyFill="1" applyBorder="1" applyAlignment="1">
      <alignment wrapText="1"/>
    </xf>
    <xf numFmtId="0" fontId="5" fillId="9" borderId="38" xfId="0" applyFont="1" applyFill="1" applyBorder="1"/>
    <xf numFmtId="0" fontId="5" fillId="9" borderId="19" xfId="0" applyFont="1" applyFill="1" applyBorder="1"/>
    <xf numFmtId="0" fontId="6" fillId="9" borderId="86" xfId="0" applyFont="1" applyFill="1" applyBorder="1"/>
    <xf numFmtId="0" fontId="6" fillId="9" borderId="38" xfId="0" applyFont="1" applyFill="1" applyBorder="1"/>
    <xf numFmtId="0" fontId="20" fillId="9" borderId="20" xfId="0" applyFont="1" applyFill="1" applyBorder="1"/>
    <xf numFmtId="0" fontId="20" fillId="9" borderId="21" xfId="0" applyFont="1" applyFill="1" applyBorder="1" applyAlignment="1">
      <alignment wrapText="1"/>
    </xf>
    <xf numFmtId="0" fontId="6" fillId="9" borderId="21" xfId="0" applyFont="1" applyFill="1" applyBorder="1"/>
    <xf numFmtId="0" fontId="6" fillId="9" borderId="82" xfId="0" applyFont="1" applyFill="1" applyBorder="1"/>
    <xf numFmtId="0" fontId="6" fillId="9" borderId="87" xfId="0" applyFont="1" applyFill="1" applyBorder="1"/>
    <xf numFmtId="0" fontId="6" fillId="9" borderId="22" xfId="0" applyFont="1" applyFill="1" applyBorder="1"/>
    <xf numFmtId="0" fontId="8" fillId="0" borderId="0" xfId="0" applyFont="1" applyBorder="1"/>
    <xf numFmtId="0" fontId="5" fillId="9" borderId="0" xfId="0" applyFont="1" applyFill="1" applyBorder="1" applyAlignment="1">
      <alignment wrapText="1"/>
    </xf>
    <xf numFmtId="0" fontId="5" fillId="9" borderId="86" xfId="0" applyFont="1" applyFill="1" applyBorder="1" applyAlignment="1">
      <alignment wrapText="1"/>
    </xf>
    <xf numFmtId="0" fontId="6" fillId="9" borderId="0" xfId="0" applyFont="1" applyFill="1" applyBorder="1"/>
    <xf numFmtId="0" fontId="6" fillId="0" borderId="0" xfId="0" applyFont="1"/>
    <xf numFmtId="0" fontId="8" fillId="0" borderId="1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24" fillId="0" borderId="0" xfId="3" applyFont="1" applyBorder="1"/>
    <xf numFmtId="164" fontId="24" fillId="0" borderId="19" xfId="3" applyFont="1" applyBorder="1"/>
    <xf numFmtId="0" fontId="26" fillId="0" borderId="0" xfId="0" applyFont="1" applyAlignment="1">
      <alignment horizontal="center"/>
    </xf>
    <xf numFmtId="0" fontId="27" fillId="0" borderId="0" xfId="0" applyFont="1"/>
    <xf numFmtId="0" fontId="27" fillId="0" borderId="39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87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27" fillId="0" borderId="47" xfId="0" applyFont="1" applyBorder="1"/>
    <xf numFmtId="0" fontId="27" fillId="0" borderId="92" xfId="0" applyFont="1" applyBorder="1" applyAlignment="1">
      <alignment horizontal="center"/>
    </xf>
    <xf numFmtId="164" fontId="27" fillId="0" borderId="0" xfId="3" applyFont="1" applyAlignment="1">
      <alignment horizontal="center"/>
    </xf>
    <xf numFmtId="164" fontId="27" fillId="0" borderId="39" xfId="3" applyFont="1" applyBorder="1" applyAlignment="1">
      <alignment horizontal="center"/>
    </xf>
    <xf numFmtId="164" fontId="27" fillId="0" borderId="39" xfId="3" applyFont="1" applyBorder="1"/>
    <xf numFmtId="164" fontId="27" fillId="0" borderId="10" xfId="3" applyFont="1" applyBorder="1" applyAlignment="1">
      <alignment horizontal="center"/>
    </xf>
    <xf numFmtId="0" fontId="27" fillId="0" borderId="19" xfId="0" applyFont="1" applyBorder="1"/>
    <xf numFmtId="0" fontId="27" fillId="0" borderId="41" xfId="0" applyFont="1" applyBorder="1" applyAlignment="1">
      <alignment horizontal="center" vertical="center"/>
    </xf>
    <xf numFmtId="0" fontId="27" fillId="0" borderId="93" xfId="0" applyFont="1" applyBorder="1" applyAlignment="1">
      <alignment horizontal="left" vertical="justify"/>
    </xf>
    <xf numFmtId="164" fontId="27" fillId="0" borderId="12" xfId="3" applyFont="1" applyBorder="1" applyAlignment="1">
      <alignment horizontal="center" vertical="center"/>
    </xf>
    <xf numFmtId="164" fontId="27" fillId="0" borderId="2" xfId="3" applyFont="1" applyBorder="1" applyAlignment="1">
      <alignment horizontal="left" vertical="center"/>
    </xf>
    <xf numFmtId="164" fontId="27" fillId="0" borderId="13" xfId="3" applyFont="1" applyBorder="1" applyAlignment="1">
      <alignment horizontal="center" vertical="center"/>
    </xf>
    <xf numFmtId="0" fontId="27" fillId="0" borderId="93" xfId="0" applyFont="1" applyBorder="1" applyAlignment="1">
      <alignment horizontal="left" vertical="center"/>
    </xf>
    <xf numFmtId="164" fontId="27" fillId="0" borderId="3" xfId="3" applyFont="1" applyBorder="1" applyAlignment="1">
      <alignment horizontal="center"/>
    </xf>
    <xf numFmtId="164" fontId="27" fillId="0" borderId="1" xfId="3" applyFont="1" applyBorder="1" applyAlignment="1">
      <alignment horizontal="center" vertical="center"/>
    </xf>
    <xf numFmtId="164" fontId="27" fillId="0" borderId="1" xfId="3" applyFont="1" applyBorder="1"/>
    <xf numFmtId="0" fontId="27" fillId="0" borderId="78" xfId="0" applyFont="1" applyBorder="1" applyAlignment="1">
      <alignment horizontal="center"/>
    </xf>
    <xf numFmtId="0" fontId="27" fillId="0" borderId="94" xfId="0" applyFont="1" applyBorder="1" applyAlignment="1">
      <alignment horizontal="left"/>
    </xf>
    <xf numFmtId="164" fontId="27" fillId="0" borderId="36" xfId="3" applyFont="1" applyBorder="1" applyAlignment="1">
      <alignment horizontal="left"/>
    </xf>
    <xf numFmtId="164" fontId="27" fillId="0" borderId="15" xfId="3" applyFont="1" applyBorder="1"/>
    <xf numFmtId="164" fontId="27" fillId="0" borderId="95" xfId="3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0" borderId="96" xfId="0" applyFont="1" applyBorder="1" applyAlignment="1">
      <alignment horizontal="left"/>
    </xf>
    <xf numFmtId="164" fontId="27" fillId="0" borderId="33" xfId="3" applyFont="1" applyBorder="1" applyAlignment="1">
      <alignment horizontal="left"/>
    </xf>
    <xf numFmtId="164" fontId="27" fillId="0" borderId="67" xfId="3" applyFont="1" applyBorder="1"/>
    <xf numFmtId="164" fontId="27" fillId="0" borderId="68" xfId="3" applyFont="1" applyBorder="1" applyAlignment="1">
      <alignment horizontal="center"/>
    </xf>
    <xf numFmtId="0" fontId="28" fillId="0" borderId="41" xfId="0" applyFont="1" applyBorder="1" applyAlignment="1">
      <alignment horizontal="center"/>
    </xf>
    <xf numFmtId="0" fontId="28" fillId="0" borderId="93" xfId="0" applyFont="1" applyBorder="1" applyAlignment="1">
      <alignment horizontal="left"/>
    </xf>
    <xf numFmtId="164" fontId="28" fillId="0" borderId="12" xfId="3" applyFont="1" applyBorder="1"/>
    <xf numFmtId="164" fontId="28" fillId="0" borderId="13" xfId="3" applyFont="1" applyBorder="1"/>
    <xf numFmtId="0" fontId="28" fillId="0" borderId="19" xfId="0" applyFont="1" applyBorder="1"/>
    <xf numFmtId="0" fontId="28" fillId="0" borderId="0" xfId="0" applyFont="1"/>
    <xf numFmtId="0" fontId="27" fillId="0" borderId="40" xfId="0" applyFont="1" applyBorder="1"/>
    <xf numFmtId="0" fontId="27" fillId="0" borderId="97" xfId="0" applyFont="1" applyBorder="1" applyAlignment="1">
      <alignment horizontal="center"/>
    </xf>
    <xf numFmtId="164" fontId="27" fillId="0" borderId="98" xfId="3" applyFont="1" applyBorder="1" applyAlignment="1">
      <alignment horizontal="center"/>
    </xf>
    <xf numFmtId="164" fontId="27" fillId="0" borderId="18" xfId="3" applyFont="1" applyBorder="1" applyAlignment="1">
      <alignment horizontal="center"/>
    </xf>
    <xf numFmtId="164" fontId="27" fillId="0" borderId="99" xfId="3" applyFont="1" applyBorder="1" applyAlignment="1">
      <alignment horizontal="center"/>
    </xf>
    <xf numFmtId="0" fontId="27" fillId="0" borderId="46" xfId="0" applyFont="1" applyBorder="1"/>
    <xf numFmtId="0" fontId="27" fillId="0" borderId="25" xfId="0" applyFont="1" applyBorder="1"/>
    <xf numFmtId="0" fontId="27" fillId="0" borderId="26" xfId="0" applyFont="1" applyBorder="1"/>
    <xf numFmtId="0" fontId="27" fillId="0" borderId="6" xfId="0" applyFont="1" applyBorder="1"/>
    <xf numFmtId="0" fontId="27" fillId="0" borderId="20" xfId="0" applyFont="1" applyBorder="1"/>
    <xf numFmtId="0" fontId="27" fillId="0" borderId="21" xfId="0" applyFont="1" applyBorder="1"/>
    <xf numFmtId="0" fontId="27" fillId="0" borderId="22" xfId="0" applyFont="1" applyBorder="1"/>
    <xf numFmtId="164" fontId="28" fillId="0" borderId="1" xfId="3" applyFont="1" applyBorder="1"/>
    <xf numFmtId="164" fontId="27" fillId="0" borderId="27" xfId="3" applyFont="1" applyBorder="1" applyAlignment="1">
      <alignment horizontal="center" vertical="center"/>
    </xf>
    <xf numFmtId="164" fontId="27" fillId="0" borderId="27" xfId="3" applyFont="1" applyBorder="1"/>
    <xf numFmtId="164" fontId="27" fillId="0" borderId="5" xfId="3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5" fillId="10" borderId="0" xfId="0" applyFont="1" applyFill="1" applyBorder="1" applyAlignment="1">
      <alignment horizontal="left" vertical="center"/>
    </xf>
    <xf numFmtId="0" fontId="5" fillId="10" borderId="0" xfId="0" applyFont="1" applyFill="1" applyBorder="1"/>
    <xf numFmtId="164" fontId="5" fillId="10" borderId="0" xfId="3" applyFont="1" applyFill="1" applyBorder="1" applyAlignment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5" fillId="4" borderId="66" xfId="0" applyFont="1" applyFill="1" applyBorder="1" applyAlignment="1">
      <alignment vertical="center" wrapText="1"/>
    </xf>
    <xf numFmtId="0" fontId="5" fillId="4" borderId="67" xfId="0" applyFont="1" applyFill="1" applyBorder="1" applyAlignment="1">
      <alignment vertical="center" wrapText="1"/>
    </xf>
    <xf numFmtId="164" fontId="6" fillId="2" borderId="0" xfId="3" applyFont="1" applyFill="1" applyBorder="1" applyAlignment="1">
      <alignment horizontal="center" vertical="center"/>
    </xf>
    <xf numFmtId="164" fontId="6" fillId="0" borderId="12" xfId="3" applyFont="1" applyBorder="1" applyAlignment="1">
      <alignment horizontal="center" vertical="center"/>
    </xf>
    <xf numFmtId="164" fontId="6" fillId="2" borderId="13" xfId="3" applyFont="1" applyFill="1" applyBorder="1" applyAlignment="1">
      <alignment horizontal="center" vertical="center"/>
    </xf>
    <xf numFmtId="164" fontId="6" fillId="0" borderId="15" xfId="3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2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/>
    <xf numFmtId="0" fontId="5" fillId="2" borderId="0" xfId="0" applyFont="1" applyFill="1" applyBorder="1"/>
    <xf numFmtId="0" fontId="5" fillId="4" borderId="17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left" vertical="center" wrapText="1"/>
    </xf>
    <xf numFmtId="49" fontId="6" fillId="0" borderId="25" xfId="0" applyNumberFormat="1" applyFont="1" applyFill="1" applyBorder="1"/>
    <xf numFmtId="49" fontId="6" fillId="0" borderId="25" xfId="0" applyNumberFormat="1" applyFont="1" applyFill="1" applyBorder="1" applyAlignment="1"/>
    <xf numFmtId="164" fontId="6" fillId="2" borderId="15" xfId="3" applyFont="1" applyFill="1" applyBorder="1"/>
    <xf numFmtId="164" fontId="6" fillId="2" borderId="95" xfId="3" applyFont="1" applyFill="1" applyBorder="1" applyAlignment="1">
      <alignment vertical="center"/>
    </xf>
    <xf numFmtId="164" fontId="27" fillId="2" borderId="12" xfId="3" applyFont="1" applyFill="1" applyBorder="1" applyAlignment="1">
      <alignment horizontal="center" vertical="center"/>
    </xf>
    <xf numFmtId="0" fontId="27" fillId="2" borderId="0" xfId="0" applyFont="1" applyFill="1"/>
    <xf numFmtId="0" fontId="6" fillId="3" borderId="100" xfId="0" applyFont="1" applyFill="1" applyBorder="1" applyAlignment="1">
      <alignment vertical="center" wrapText="1"/>
    </xf>
    <xf numFmtId="0" fontId="6" fillId="3" borderId="91" xfId="0" applyFont="1" applyFill="1" applyBorder="1" applyAlignment="1">
      <alignment horizontal="center" vertical="center" wrapText="1"/>
    </xf>
    <xf numFmtId="164" fontId="5" fillId="3" borderId="63" xfId="3" applyFont="1" applyFill="1" applyBorder="1" applyAlignment="1">
      <alignment vertical="center"/>
    </xf>
    <xf numFmtId="0" fontId="6" fillId="2" borderId="98" xfId="0" applyFont="1" applyFill="1" applyBorder="1" applyAlignment="1">
      <alignment vertical="center" wrapText="1"/>
    </xf>
    <xf numFmtId="164" fontId="6" fillId="2" borderId="98" xfId="3" applyFont="1" applyFill="1" applyBorder="1" applyAlignment="1">
      <alignment horizontal="center" vertical="center"/>
    </xf>
    <xf numFmtId="0" fontId="27" fillId="0" borderId="62" xfId="0" applyFont="1" applyBorder="1" applyAlignment="1">
      <alignment horizontal="center" vertical="justify"/>
    </xf>
    <xf numFmtId="0" fontId="8" fillId="0" borderId="0" xfId="0" applyFont="1" applyAlignment="1">
      <alignment horizontal="center"/>
    </xf>
    <xf numFmtId="164" fontId="27" fillId="0" borderId="12" xfId="3" applyFont="1" applyBorder="1" applyAlignment="1">
      <alignment horizontal="left" vertical="center"/>
    </xf>
    <xf numFmtId="164" fontId="27" fillId="0" borderId="17" xfId="3" applyFont="1" applyBorder="1" applyAlignment="1">
      <alignment horizontal="center"/>
    </xf>
    <xf numFmtId="164" fontId="27" fillId="0" borderId="15" xfId="3" applyFont="1" applyBorder="1" applyAlignment="1">
      <alignment horizontal="left"/>
    </xf>
    <xf numFmtId="164" fontId="27" fillId="0" borderId="67" xfId="3" applyFont="1" applyBorder="1" applyAlignment="1">
      <alignment horizontal="left"/>
    </xf>
    <xf numFmtId="164" fontId="27" fillId="0" borderId="38" xfId="3" applyFont="1" applyBorder="1" applyAlignment="1">
      <alignment horizontal="center"/>
    </xf>
    <xf numFmtId="164" fontId="27" fillId="0" borderId="1" xfId="3" applyFont="1" applyBorder="1" applyAlignment="1">
      <alignment horizontal="left" vertical="center"/>
    </xf>
    <xf numFmtId="164" fontId="27" fillId="0" borderId="27" xfId="3" applyFont="1" applyBorder="1" applyAlignment="1">
      <alignment horizontal="center"/>
    </xf>
    <xf numFmtId="164" fontId="27" fillId="2" borderId="1" xfId="3" applyFont="1" applyFill="1" applyBorder="1" applyAlignment="1">
      <alignment horizontal="left" vertical="center"/>
    </xf>
    <xf numFmtId="164" fontId="27" fillId="0" borderId="35" xfId="3" applyFont="1" applyBorder="1" applyAlignment="1">
      <alignment horizontal="left"/>
    </xf>
    <xf numFmtId="164" fontId="27" fillId="0" borderId="44" xfId="3" applyFont="1" applyBorder="1" applyAlignment="1">
      <alignment horizontal="left"/>
    </xf>
    <xf numFmtId="0" fontId="27" fillId="0" borderId="24" xfId="0" applyFont="1" applyBorder="1" applyAlignment="1">
      <alignment horizontal="center" vertical="justify"/>
    </xf>
    <xf numFmtId="0" fontId="27" fillId="0" borderId="23" xfId="0" applyFont="1" applyBorder="1" applyAlignment="1">
      <alignment horizontal="center" vertical="justify"/>
    </xf>
    <xf numFmtId="0" fontId="5" fillId="4" borderId="16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5" fillId="9" borderId="44" xfId="0" applyFont="1" applyFill="1" applyBorder="1" applyAlignment="1">
      <alignment vertical="center"/>
    </xf>
    <xf numFmtId="0" fontId="5" fillId="9" borderId="33" xfId="0" applyFont="1" applyFill="1" applyBorder="1" applyAlignment="1">
      <alignment vertical="center"/>
    </xf>
    <xf numFmtId="0" fontId="5" fillId="9" borderId="34" xfId="0" applyFont="1" applyFill="1" applyBorder="1" applyAlignment="1">
      <alignment vertical="center"/>
    </xf>
    <xf numFmtId="166" fontId="5" fillId="9" borderId="33" xfId="0" applyNumberFormat="1" applyFont="1" applyFill="1" applyBorder="1" applyAlignment="1">
      <alignment vertical="center"/>
    </xf>
    <xf numFmtId="0" fontId="26" fillId="0" borderId="33" xfId="0" applyFont="1" applyBorder="1" applyAlignment="1">
      <alignment horizontal="left" vertical="center"/>
    </xf>
    <xf numFmtId="0" fontId="31" fillId="0" borderId="0" xfId="0" applyFont="1"/>
    <xf numFmtId="0" fontId="26" fillId="0" borderId="2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0" fontId="26" fillId="0" borderId="21" xfId="0" applyFont="1" applyBorder="1" applyAlignment="1">
      <alignment horizontal="left" vertical="center"/>
    </xf>
    <xf numFmtId="0" fontId="6" fillId="2" borderId="0" xfId="0" applyFont="1" applyFill="1"/>
    <xf numFmtId="0" fontId="8" fillId="2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26" fillId="2" borderId="21" xfId="0" applyFont="1" applyFill="1" applyBorder="1" applyAlignment="1">
      <alignment horizontal="left" vertical="center"/>
    </xf>
    <xf numFmtId="0" fontId="27" fillId="2" borderId="91" xfId="0" applyFont="1" applyFill="1" applyBorder="1" applyAlignment="1">
      <alignment horizontal="center" vertical="center"/>
    </xf>
    <xf numFmtId="164" fontId="27" fillId="2" borderId="39" xfId="3" applyFont="1" applyFill="1" applyBorder="1" applyAlignment="1">
      <alignment horizontal="center"/>
    </xf>
    <xf numFmtId="164" fontId="27" fillId="2" borderId="15" xfId="3" applyFont="1" applyFill="1" applyBorder="1"/>
    <xf numFmtId="164" fontId="27" fillId="2" borderId="67" xfId="3" applyFont="1" applyFill="1" applyBorder="1"/>
    <xf numFmtId="164" fontId="28" fillId="2" borderId="12" xfId="3" applyFont="1" applyFill="1" applyBorder="1"/>
    <xf numFmtId="164" fontId="27" fillId="2" borderId="98" xfId="3" applyFont="1" applyFill="1" applyBorder="1" applyAlignment="1">
      <alignment horizontal="center"/>
    </xf>
    <xf numFmtId="0" fontId="27" fillId="2" borderId="25" xfId="0" applyFont="1" applyFill="1" applyBorder="1"/>
    <xf numFmtId="0" fontId="27" fillId="2" borderId="21" xfId="0" applyFont="1" applyFill="1" applyBorder="1"/>
    <xf numFmtId="164" fontId="0" fillId="0" borderId="0" xfId="3" applyFont="1"/>
    <xf numFmtId="164" fontId="0" fillId="0" borderId="0" xfId="0" applyNumberFormat="1"/>
    <xf numFmtId="164" fontId="0" fillId="0" borderId="3" xfId="0" applyNumberFormat="1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0" applyNumberFormat="1"/>
    <xf numFmtId="0" fontId="32" fillId="0" borderId="0" xfId="0" applyFont="1"/>
    <xf numFmtId="164" fontId="32" fillId="0" borderId="0" xfId="3" applyFont="1"/>
    <xf numFmtId="0" fontId="0" fillId="0" borderId="36" xfId="0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quotePrefix="1"/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2" fillId="0" borderId="0" xfId="0" applyFont="1" applyAlignment="1">
      <alignment horizontal="center"/>
    </xf>
    <xf numFmtId="164" fontId="0" fillId="2" borderId="0" xfId="3" applyFont="1" applyFill="1"/>
    <xf numFmtId="0" fontId="11" fillId="6" borderId="51" xfId="4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justify"/>
    </xf>
    <xf numFmtId="0" fontId="27" fillId="0" borderId="38" xfId="0" applyFont="1" applyBorder="1" applyAlignment="1">
      <alignment horizontal="center" vertical="justify"/>
    </xf>
    <xf numFmtId="0" fontId="27" fillId="2" borderId="38" xfId="0" applyFont="1" applyFill="1" applyBorder="1" applyAlignment="1">
      <alignment horizontal="center" vertical="justify"/>
    </xf>
    <xf numFmtId="0" fontId="0" fillId="2" borderId="0" xfId="0" applyFill="1"/>
    <xf numFmtId="0" fontId="32" fillId="2" borderId="0" xfId="0" applyFont="1" applyFill="1"/>
    <xf numFmtId="0" fontId="0" fillId="2" borderId="0" xfId="0" quotePrefix="1" applyFill="1"/>
    <xf numFmtId="0" fontId="0" fillId="2" borderId="0" xfId="0" applyFill="1" applyAlignment="1">
      <alignment horizontal="center"/>
    </xf>
    <xf numFmtId="0" fontId="0" fillId="2" borderId="3" xfId="0" applyFill="1" applyBorder="1"/>
    <xf numFmtId="164" fontId="27" fillId="0" borderId="86" xfId="3" applyFont="1" applyBorder="1" applyAlignment="1">
      <alignment horizontal="center" vertical="center"/>
    </xf>
    <xf numFmtId="0" fontId="27" fillId="2" borderId="38" xfId="0" applyFont="1" applyFill="1" applyBorder="1" applyAlignment="1">
      <alignment horizontal="center" vertical="center"/>
    </xf>
    <xf numFmtId="164" fontId="0" fillId="2" borderId="0" xfId="3" quotePrefix="1" applyFont="1" applyFill="1"/>
    <xf numFmtId="10" fontId="0" fillId="2" borderId="0" xfId="0" applyNumberFormat="1" applyFill="1"/>
    <xf numFmtId="0" fontId="0" fillId="2" borderId="0" xfId="0" quotePrefix="1" applyFill="1" applyAlignment="1">
      <alignment horizontal="center"/>
    </xf>
    <xf numFmtId="43" fontId="32" fillId="2" borderId="0" xfId="0" applyNumberFormat="1" applyFont="1" applyFill="1"/>
    <xf numFmtId="0" fontId="27" fillId="0" borderId="0" xfId="0" applyFont="1" applyBorder="1"/>
    <xf numFmtId="0" fontId="27" fillId="2" borderId="0" xfId="0" applyFont="1" applyFill="1" applyBorder="1"/>
    <xf numFmtId="0" fontId="32" fillId="11" borderId="0" xfId="0" applyFont="1" applyFill="1"/>
    <xf numFmtId="0" fontId="0" fillId="11" borderId="0" xfId="0" applyFill="1"/>
    <xf numFmtId="0" fontId="32" fillId="11" borderId="0" xfId="0" applyFont="1" applyFill="1" applyAlignment="1">
      <alignment horizontal="left"/>
    </xf>
    <xf numFmtId="0" fontId="0" fillId="0" borderId="0" xfId="0" applyFill="1"/>
    <xf numFmtId="3" fontId="27" fillId="0" borderId="39" xfId="0" applyNumberFormat="1" applyFont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0" fontId="6" fillId="0" borderId="12" xfId="0" applyFont="1" applyBorder="1"/>
    <xf numFmtId="0" fontId="6" fillId="0" borderId="1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/>
    <xf numFmtId="164" fontId="6" fillId="0" borderId="2" xfId="3" applyFont="1" applyBorder="1"/>
    <xf numFmtId="0" fontId="6" fillId="0" borderId="2" xfId="0" applyFont="1" applyBorder="1"/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2" xfId="3" applyFont="1" applyBorder="1"/>
    <xf numFmtId="0" fontId="5" fillId="0" borderId="1" xfId="0" applyFont="1" applyBorder="1" applyAlignment="1">
      <alignment horizontal="left" vertical="justify"/>
    </xf>
    <xf numFmtId="164" fontId="6" fillId="0" borderId="2" xfId="3" applyFont="1" applyBorder="1" applyAlignment="1">
      <alignment vertical="center"/>
    </xf>
    <xf numFmtId="164" fontId="5" fillId="0" borderId="12" xfId="3" applyFont="1" applyBorder="1" applyAlignment="1">
      <alignment vertical="center"/>
    </xf>
    <xf numFmtId="43" fontId="6" fillId="0" borderId="0" xfId="0" applyNumberFormat="1" applyFont="1"/>
    <xf numFmtId="167" fontId="6" fillId="0" borderId="0" xfId="3" applyNumberFormat="1" applyFont="1"/>
    <xf numFmtId="0" fontId="6" fillId="0" borderId="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/>
    <xf numFmtId="49" fontId="6" fillId="0" borderId="0" xfId="0" applyNumberFormat="1" applyFont="1" applyFill="1" applyBorder="1" applyAlignment="1"/>
    <xf numFmtId="0" fontId="5" fillId="4" borderId="4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5" fillId="4" borderId="2" xfId="3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32" fillId="11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164" fontId="4" fillId="2" borderId="0" xfId="3" applyFont="1" applyFill="1" applyBorder="1" applyAlignment="1">
      <alignment horizontal="center" vertical="center"/>
    </xf>
    <xf numFmtId="0" fontId="4" fillId="2" borderId="0" xfId="0" applyFont="1" applyFill="1"/>
    <xf numFmtId="164" fontId="23" fillId="2" borderId="0" xfId="0" applyNumberFormat="1" applyFont="1" applyFill="1"/>
    <xf numFmtId="164" fontId="6" fillId="2" borderId="0" xfId="3" applyFont="1" applyFill="1" applyAlignment="1">
      <alignment horizontal="center" vertical="center"/>
    </xf>
    <xf numFmtId="0" fontId="6" fillId="2" borderId="14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center"/>
    </xf>
    <xf numFmtId="0" fontId="5" fillId="0" borderId="12" xfId="0" applyFont="1" applyBorder="1" applyAlignment="1">
      <alignment vertical="justify"/>
    </xf>
    <xf numFmtId="43" fontId="5" fillId="0" borderId="12" xfId="0" applyNumberFormat="1" applyFont="1" applyBorder="1" applyAlignment="1">
      <alignment horizontal="center" vertical="center"/>
    </xf>
    <xf numFmtId="43" fontId="6" fillId="0" borderId="12" xfId="0" applyNumberFormat="1" applyFont="1" applyBorder="1"/>
    <xf numFmtId="167" fontId="6" fillId="0" borderId="12" xfId="3" applyNumberFormat="1" applyFont="1" applyBorder="1"/>
    <xf numFmtId="0" fontId="6" fillId="0" borderId="12" xfId="0" applyFont="1" applyBorder="1" applyAlignment="1">
      <alignment vertical="justify"/>
    </xf>
    <xf numFmtId="43" fontId="6" fillId="0" borderId="12" xfId="0" applyNumberFormat="1" applyFont="1" applyBorder="1" applyAlignment="1">
      <alignment vertical="center"/>
    </xf>
    <xf numFmtId="0" fontId="6" fillId="0" borderId="12" xfId="0" applyFont="1" applyBorder="1" applyAlignment="1">
      <alignment wrapText="1"/>
    </xf>
    <xf numFmtId="0" fontId="33" fillId="0" borderId="0" xfId="0" applyFont="1" applyAlignment="1"/>
    <xf numFmtId="10" fontId="5" fillId="2" borderId="4" xfId="0" applyNumberFormat="1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right" vertical="distributed"/>
    </xf>
    <xf numFmtId="0" fontId="6" fillId="0" borderId="3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6" fillId="2" borderId="12" xfId="2" applyNumberFormat="1" applyFont="1" applyFill="1" applyBorder="1" applyAlignment="1">
      <alignment vertical="center"/>
    </xf>
    <xf numFmtId="0" fontId="34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justify"/>
    </xf>
    <xf numFmtId="2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36" xfId="0" applyBorder="1"/>
    <xf numFmtId="0" fontId="27" fillId="0" borderId="47" xfId="0" applyFont="1" applyBorder="1" applyAlignment="1">
      <alignment horizontal="center" vertical="center"/>
    </xf>
    <xf numFmtId="0" fontId="27" fillId="0" borderId="92" xfId="0" applyFont="1" applyBorder="1" applyAlignment="1">
      <alignment horizontal="left" vertical="center"/>
    </xf>
    <xf numFmtId="164" fontId="27" fillId="0" borderId="3" xfId="3" applyFont="1" applyBorder="1" applyAlignment="1">
      <alignment horizontal="left" vertical="center"/>
    </xf>
    <xf numFmtId="164" fontId="27" fillId="0" borderId="27" xfId="3" applyFont="1" applyBorder="1" applyAlignment="1">
      <alignment horizontal="left" vertical="center"/>
    </xf>
    <xf numFmtId="164" fontId="27" fillId="0" borderId="17" xfId="3" applyFont="1" applyBorder="1" applyAlignment="1">
      <alignment horizontal="left" vertical="center"/>
    </xf>
    <xf numFmtId="0" fontId="27" fillId="2" borderId="41" xfId="0" applyFont="1" applyFill="1" applyBorder="1" applyAlignment="1">
      <alignment horizontal="center" vertical="center"/>
    </xf>
    <xf numFmtId="0" fontId="27" fillId="2" borderId="93" xfId="0" applyFont="1" applyFill="1" applyBorder="1" applyAlignment="1">
      <alignment horizontal="left" vertical="justify"/>
    </xf>
    <xf numFmtId="164" fontId="27" fillId="2" borderId="2" xfId="3" applyFont="1" applyFill="1" applyBorder="1" applyAlignment="1">
      <alignment horizontal="left" vertical="center"/>
    </xf>
    <xf numFmtId="164" fontId="27" fillId="2" borderId="12" xfId="3" applyFont="1" applyFill="1" applyBorder="1" applyAlignment="1">
      <alignment horizontal="left" vertical="center"/>
    </xf>
    <xf numFmtId="164" fontId="27" fillId="2" borderId="1" xfId="3" applyFont="1" applyFill="1" applyBorder="1" applyAlignment="1">
      <alignment horizontal="center" vertical="center"/>
    </xf>
    <xf numFmtId="0" fontId="27" fillId="2" borderId="19" xfId="0" applyFont="1" applyFill="1" applyBorder="1"/>
    <xf numFmtId="164" fontId="27" fillId="0" borderId="0" xfId="3" applyFont="1" applyBorder="1"/>
    <xf numFmtId="164" fontId="28" fillId="0" borderId="0" xfId="3" applyFont="1" applyBorder="1"/>
    <xf numFmtId="0" fontId="10" fillId="0" borderId="0" xfId="0" applyFont="1" applyAlignment="1">
      <alignment horizontal="center" vertical="justify"/>
    </xf>
    <xf numFmtId="164" fontId="6" fillId="0" borderId="0" xfId="3" applyFont="1" applyFill="1" applyBorder="1" applyAlignment="1">
      <alignment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45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1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29" fillId="4" borderId="29" xfId="0" applyFont="1" applyFill="1" applyBorder="1" applyAlignment="1">
      <alignment horizontal="center" vertical="distributed"/>
    </xf>
    <xf numFmtId="0" fontId="29" fillId="4" borderId="30" xfId="0" applyFont="1" applyFill="1" applyBorder="1" applyAlignment="1">
      <alignment horizontal="center" vertical="distributed"/>
    </xf>
    <xf numFmtId="0" fontId="29" fillId="4" borderId="31" xfId="0" applyFont="1" applyFill="1" applyBorder="1" applyAlignment="1">
      <alignment horizontal="center" vertical="distributed"/>
    </xf>
    <xf numFmtId="0" fontId="5" fillId="0" borderId="29" xfId="0" applyFont="1" applyFill="1" applyBorder="1" applyAlignment="1">
      <alignment horizontal="center" vertical="distributed"/>
    </xf>
    <xf numFmtId="0" fontId="5" fillId="0" borderId="30" xfId="0" applyFont="1" applyFill="1" applyBorder="1" applyAlignment="1">
      <alignment horizontal="center" vertical="distributed"/>
    </xf>
    <xf numFmtId="0" fontId="5" fillId="0" borderId="31" xfId="0" applyFont="1" applyFill="1" applyBorder="1" applyAlignment="1">
      <alignment horizontal="center" vertical="distributed"/>
    </xf>
    <xf numFmtId="0" fontId="5" fillId="2" borderId="19" xfId="0" applyFont="1" applyFill="1" applyBorder="1" applyAlignment="1">
      <alignment horizontal="left" vertical="distributed"/>
    </xf>
    <xf numFmtId="0" fontId="5" fillId="2" borderId="0" xfId="0" applyFont="1" applyFill="1" applyBorder="1" applyAlignment="1">
      <alignment horizontal="left" vertical="distributed"/>
    </xf>
    <xf numFmtId="0" fontId="5" fillId="2" borderId="41" xfId="0" applyFont="1" applyFill="1" applyBorder="1" applyAlignment="1">
      <alignment horizontal="left" vertical="distributed"/>
    </xf>
    <xf numFmtId="0" fontId="5" fillId="2" borderId="2" xfId="0" applyFont="1" applyFill="1" applyBorder="1" applyAlignment="1">
      <alignment horizontal="left" vertical="distributed"/>
    </xf>
    <xf numFmtId="0" fontId="5" fillId="2" borderId="36" xfId="0" applyFont="1" applyFill="1" applyBorder="1" applyAlignment="1">
      <alignment horizontal="left" vertical="distributed"/>
    </xf>
    <xf numFmtId="0" fontId="5" fillId="2" borderId="41" xfId="0" applyFont="1" applyFill="1" applyBorder="1" applyAlignment="1">
      <alignment horizontal="justify" vertical="justify" wrapText="1"/>
    </xf>
    <xf numFmtId="0" fontId="5" fillId="2" borderId="2" xfId="0" applyFont="1" applyFill="1" applyBorder="1" applyAlignment="1">
      <alignment horizontal="justify" vertical="justify" wrapText="1"/>
    </xf>
    <xf numFmtId="0" fontId="5" fillId="2" borderId="42" xfId="0" applyFont="1" applyFill="1" applyBorder="1" applyAlignment="1">
      <alignment horizontal="justify" vertical="justify" wrapText="1"/>
    </xf>
    <xf numFmtId="0" fontId="5" fillId="2" borderId="1" xfId="0" applyFont="1" applyFill="1" applyBorder="1" applyAlignment="1">
      <alignment horizontal="left" vertical="distributed"/>
    </xf>
    <xf numFmtId="0" fontId="5" fillId="2" borderId="4" xfId="0" applyFont="1" applyFill="1" applyBorder="1" applyAlignment="1">
      <alignment horizontal="left" vertical="distributed"/>
    </xf>
    <xf numFmtId="0" fontId="5" fillId="2" borderId="40" xfId="0" applyFont="1" applyFill="1" applyBorder="1" applyAlignment="1">
      <alignment horizontal="left" vertical="distributed" wrapText="1"/>
    </xf>
    <xf numFmtId="0" fontId="5" fillId="2" borderId="18" xfId="0" applyFont="1" applyFill="1" applyBorder="1" applyAlignment="1">
      <alignment horizontal="left" vertical="distributed" wrapText="1"/>
    </xf>
    <xf numFmtId="0" fontId="5" fillId="0" borderId="29" xfId="0" applyFont="1" applyFill="1" applyBorder="1" applyAlignment="1">
      <alignment horizontal="center" vertical="distributed" wrapText="1"/>
    </xf>
    <xf numFmtId="0" fontId="5" fillId="0" borderId="30" xfId="0" applyFont="1" applyFill="1" applyBorder="1" applyAlignment="1">
      <alignment horizontal="center" vertical="distributed" wrapText="1"/>
    </xf>
    <xf numFmtId="0" fontId="5" fillId="0" borderId="31" xfId="0" applyFont="1" applyFill="1" applyBorder="1" applyAlignment="1">
      <alignment horizontal="center" vertical="distributed" wrapText="1"/>
    </xf>
    <xf numFmtId="0" fontId="5" fillId="2" borderId="24" xfId="0" applyFont="1" applyFill="1" applyBorder="1" applyAlignment="1">
      <alignment horizontal="center" vertical="distributed"/>
    </xf>
    <xf numFmtId="0" fontId="5" fillId="2" borderId="26" xfId="0" applyFont="1" applyFill="1" applyBorder="1" applyAlignment="1">
      <alignment horizontal="center" vertical="distributed"/>
    </xf>
    <xf numFmtId="0" fontId="5" fillId="2" borderId="27" xfId="0" applyFont="1" applyFill="1" applyBorder="1" applyAlignment="1">
      <alignment horizontal="center" vertical="distributed"/>
    </xf>
    <xf numFmtId="0" fontId="5" fillId="2" borderId="28" xfId="0" applyFont="1" applyFill="1" applyBorder="1" applyAlignment="1">
      <alignment horizontal="center" vertical="distributed"/>
    </xf>
    <xf numFmtId="0" fontId="5" fillId="2" borderId="41" xfId="0" applyFont="1" applyFill="1" applyBorder="1" applyAlignment="1">
      <alignment horizontal="left" vertical="distributed" wrapText="1"/>
    </xf>
    <xf numFmtId="0" fontId="5" fillId="2" borderId="2" xfId="0" applyFont="1" applyFill="1" applyBorder="1" applyAlignment="1">
      <alignment horizontal="left" vertical="distributed" wrapText="1"/>
    </xf>
    <xf numFmtId="0" fontId="5" fillId="2" borderId="42" xfId="0" applyFont="1" applyFill="1" applyBorder="1" applyAlignment="1">
      <alignment horizontal="left" vertical="distributed" wrapText="1"/>
    </xf>
    <xf numFmtId="0" fontId="33" fillId="0" borderId="0" xfId="0" applyFont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2" fillId="11" borderId="0" xfId="0" applyFont="1" applyFill="1" applyAlignment="1">
      <alignment horizontal="center"/>
    </xf>
    <xf numFmtId="0" fontId="0" fillId="2" borderId="0" xfId="0" applyFill="1" applyAlignment="1">
      <alignment horizontal="left" vertical="justify"/>
    </xf>
    <xf numFmtId="0" fontId="30" fillId="2" borderId="0" xfId="0" applyFont="1" applyFill="1" applyAlignment="1">
      <alignment horizontal="center"/>
    </xf>
    <xf numFmtId="0" fontId="27" fillId="0" borderId="24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32" xfId="0" applyFont="1" applyBorder="1" applyAlignment="1">
      <alignment horizontal="left" vertical="center"/>
    </xf>
    <xf numFmtId="0" fontId="26" fillId="0" borderId="33" xfId="0" applyFont="1" applyBorder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7" fillId="0" borderId="88" xfId="0" applyFont="1" applyBorder="1" applyAlignment="1">
      <alignment horizontal="center" vertical="center"/>
    </xf>
    <xf numFmtId="0" fontId="27" fillId="0" borderId="89" xfId="0" applyFont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justify"/>
    </xf>
    <xf numFmtId="0" fontId="27" fillId="0" borderId="0" xfId="0" applyFont="1" applyBorder="1" applyAlignment="1">
      <alignment horizontal="center" vertical="justify"/>
    </xf>
    <xf numFmtId="0" fontId="27" fillId="0" borderId="38" xfId="0" applyFont="1" applyBorder="1" applyAlignment="1">
      <alignment horizontal="center" vertical="center"/>
    </xf>
    <xf numFmtId="0" fontId="27" fillId="0" borderId="86" xfId="0" applyFont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/>
    </xf>
    <xf numFmtId="0" fontId="27" fillId="0" borderId="85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7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5" borderId="48" xfId="4" applyFont="1" applyFill="1" applyBorder="1" applyAlignment="1">
      <alignment horizontal="center" vertical="center" wrapText="1"/>
    </xf>
    <xf numFmtId="0" fontId="10" fillId="5" borderId="49" xfId="4" applyFont="1" applyFill="1" applyBorder="1" applyAlignment="1">
      <alignment horizontal="center" vertical="center" wrapText="1"/>
    </xf>
    <xf numFmtId="0" fontId="10" fillId="5" borderId="50" xfId="4" applyFont="1" applyFill="1" applyBorder="1" applyAlignment="1">
      <alignment horizontal="center" vertical="center" wrapText="1"/>
    </xf>
    <xf numFmtId="0" fontId="11" fillId="6" borderId="51" xfId="4" applyFont="1" applyFill="1" applyBorder="1" applyAlignment="1">
      <alignment horizontal="center" vertical="center" wrapText="1"/>
    </xf>
    <xf numFmtId="0" fontId="11" fillId="6" borderId="48" xfId="4" applyFont="1" applyFill="1" applyBorder="1" applyAlignment="1">
      <alignment horizontal="center" vertical="center" wrapText="1"/>
    </xf>
    <xf numFmtId="0" fontId="11" fillId="6" borderId="49" xfId="4" applyFont="1" applyFill="1" applyBorder="1" applyAlignment="1">
      <alignment horizontal="center" vertical="center" wrapText="1"/>
    </xf>
    <xf numFmtId="0" fontId="11" fillId="6" borderId="50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justify"/>
    </xf>
    <xf numFmtId="0" fontId="16" fillId="0" borderId="0" xfId="0" applyFont="1" applyAlignment="1">
      <alignment horizontal="center"/>
    </xf>
    <xf numFmtId="10" fontId="10" fillId="0" borderId="48" xfId="2" applyNumberFormat="1" applyFont="1" applyBorder="1" applyAlignment="1">
      <alignment horizontal="center" vertical="center"/>
    </xf>
    <xf numFmtId="10" fontId="10" fillId="0" borderId="50" xfId="2" applyNumberFormat="1" applyFont="1" applyBorder="1" applyAlignment="1">
      <alignment horizontal="center" vertical="center"/>
    </xf>
    <xf numFmtId="9" fontId="10" fillId="0" borderId="48" xfId="5" applyFont="1" applyBorder="1" applyAlignment="1">
      <alignment horizontal="center" vertical="center"/>
    </xf>
    <xf numFmtId="9" fontId="10" fillId="0" borderId="50" xfId="5" applyFont="1" applyBorder="1" applyAlignment="1">
      <alignment horizontal="center" vertical="center"/>
    </xf>
    <xf numFmtId="10" fontId="10" fillId="0" borderId="48" xfId="5" applyNumberFormat="1" applyFont="1" applyBorder="1" applyAlignment="1">
      <alignment horizontal="center" vertical="center"/>
    </xf>
    <xf numFmtId="10" fontId="10" fillId="0" borderId="50" xfId="5" applyNumberFormat="1" applyFont="1" applyBorder="1" applyAlignment="1">
      <alignment horizontal="center" vertical="center"/>
    </xf>
    <xf numFmtId="10" fontId="10" fillId="0" borderId="48" xfId="4" applyNumberFormat="1" applyFont="1" applyBorder="1" applyAlignment="1">
      <alignment horizontal="center" vertical="center"/>
    </xf>
    <xf numFmtId="10" fontId="10" fillId="0" borderId="50" xfId="4" applyNumberFormat="1" applyFont="1" applyBorder="1" applyAlignment="1">
      <alignment horizontal="center" vertical="center"/>
    </xf>
    <xf numFmtId="10" fontId="2" fillId="0" borderId="48" xfId="5" applyNumberFormat="1" applyFont="1" applyBorder="1" applyAlignment="1">
      <alignment horizontal="center" vertical="center"/>
    </xf>
    <xf numFmtId="10" fontId="2" fillId="0" borderId="50" xfId="5" applyNumberFormat="1" applyFont="1" applyBorder="1" applyAlignment="1">
      <alignment horizontal="center" vertical="center"/>
    </xf>
    <xf numFmtId="10" fontId="10" fillId="7" borderId="48" xfId="5" applyNumberFormat="1" applyFont="1" applyFill="1" applyBorder="1" applyAlignment="1">
      <alignment horizontal="center" vertical="center"/>
    </xf>
    <xf numFmtId="10" fontId="10" fillId="7" borderId="50" xfId="5" applyNumberFormat="1" applyFont="1" applyFill="1" applyBorder="1" applyAlignment="1">
      <alignment horizontal="center" vertical="center"/>
    </xf>
    <xf numFmtId="0" fontId="10" fillId="0" borderId="48" xfId="4" applyFont="1" applyBorder="1" applyAlignment="1">
      <alignment horizontal="left" vertical="center"/>
    </xf>
    <xf numFmtId="0" fontId="10" fillId="0" borderId="49" xfId="4" applyFont="1" applyBorder="1" applyAlignment="1">
      <alignment horizontal="left" vertical="center"/>
    </xf>
    <xf numFmtId="0" fontId="10" fillId="0" borderId="50" xfId="4" applyFont="1" applyBorder="1" applyAlignment="1">
      <alignment horizontal="left" vertical="center"/>
    </xf>
    <xf numFmtId="0" fontId="2" fillId="0" borderId="52" xfId="4" applyFont="1" applyBorder="1" applyAlignment="1">
      <alignment horizontal="center" vertical="center"/>
    </xf>
    <xf numFmtId="0" fontId="2" fillId="0" borderId="53" xfId="4" applyFont="1" applyBorder="1" applyAlignment="1">
      <alignment horizontal="center" vertical="center"/>
    </xf>
    <xf numFmtId="0" fontId="2" fillId="0" borderId="55" xfId="4" applyFont="1" applyBorder="1" applyAlignment="1">
      <alignment horizontal="center" vertical="center"/>
    </xf>
    <xf numFmtId="0" fontId="2" fillId="0" borderId="56" xfId="4" applyFont="1" applyBorder="1" applyAlignment="1">
      <alignment horizontal="center" vertical="center"/>
    </xf>
    <xf numFmtId="0" fontId="14" fillId="5" borderId="52" xfId="4" applyFont="1" applyFill="1" applyBorder="1" applyAlignment="1">
      <alignment horizontal="center" vertical="center"/>
    </xf>
    <xf numFmtId="0" fontId="14" fillId="5" borderId="54" xfId="4" applyFont="1" applyFill="1" applyBorder="1" applyAlignment="1">
      <alignment horizontal="center" vertical="center"/>
    </xf>
    <xf numFmtId="0" fontId="14" fillId="5" borderId="53" xfId="4" applyFont="1" applyFill="1" applyBorder="1" applyAlignment="1">
      <alignment horizontal="center" vertical="center"/>
    </xf>
    <xf numFmtId="0" fontId="2" fillId="5" borderId="55" xfId="4" applyFont="1" applyFill="1" applyBorder="1" applyAlignment="1">
      <alignment horizontal="center" vertical="center"/>
    </xf>
    <xf numFmtId="0" fontId="2" fillId="5" borderId="57" xfId="4" applyFont="1" applyFill="1" applyBorder="1" applyAlignment="1">
      <alignment horizontal="center" vertical="center"/>
    </xf>
    <xf numFmtId="0" fontId="2" fillId="5" borderId="56" xfId="4" applyFont="1" applyFill="1" applyBorder="1" applyAlignment="1">
      <alignment horizontal="center" vertical="center"/>
    </xf>
    <xf numFmtId="0" fontId="10" fillId="0" borderId="48" xfId="4" applyFont="1" applyBorder="1" applyAlignment="1">
      <alignment horizontal="right" vertical="center"/>
    </xf>
    <xf numFmtId="0" fontId="10" fillId="0" borderId="50" xfId="4" applyFont="1" applyBorder="1" applyAlignment="1">
      <alignment horizontal="right" vertical="center"/>
    </xf>
    <xf numFmtId="10" fontId="15" fillId="0" borderId="48" xfId="5" applyNumberFormat="1" applyFont="1" applyBorder="1" applyAlignment="1">
      <alignment horizontal="center" vertical="center"/>
    </xf>
    <xf numFmtId="10" fontId="15" fillId="0" borderId="50" xfId="5" applyNumberFormat="1" applyFont="1" applyBorder="1" applyAlignment="1">
      <alignment horizontal="center" vertical="center"/>
    </xf>
    <xf numFmtId="165" fontId="2" fillId="0" borderId="58" xfId="5" applyNumberFormat="1" applyFont="1" applyBorder="1" applyAlignment="1">
      <alignment horizontal="center" vertical="center"/>
    </xf>
    <xf numFmtId="165" fontId="2" fillId="0" borderId="59" xfId="5" applyNumberFormat="1" applyFont="1" applyBorder="1" applyAlignment="1">
      <alignment horizontal="center" vertical="center"/>
    </xf>
    <xf numFmtId="165" fontId="2" fillId="0" borderId="61" xfId="5" applyNumberFormat="1" applyFont="1" applyBorder="1" applyAlignment="1">
      <alignment horizontal="center" vertical="center"/>
    </xf>
    <xf numFmtId="10" fontId="2" fillId="7" borderId="52" xfId="5" applyNumberFormat="1" applyFont="1" applyFill="1" applyBorder="1" applyAlignment="1">
      <alignment horizontal="center" vertical="center"/>
    </xf>
    <xf numFmtId="10" fontId="2" fillId="7" borderId="53" xfId="5" applyNumberFormat="1" applyFont="1" applyFill="1" applyBorder="1" applyAlignment="1">
      <alignment horizontal="center" vertical="center"/>
    </xf>
    <xf numFmtId="10" fontId="2" fillId="7" borderId="55" xfId="5" applyNumberFormat="1" applyFont="1" applyFill="1" applyBorder="1" applyAlignment="1">
      <alignment horizontal="center" vertical="center"/>
    </xf>
    <xf numFmtId="10" fontId="2" fillId="7" borderId="56" xfId="5" applyNumberFormat="1" applyFont="1" applyFill="1" applyBorder="1" applyAlignment="1">
      <alignment horizontal="center" vertical="center"/>
    </xf>
    <xf numFmtId="0" fontId="2" fillId="5" borderId="48" xfId="4" applyFont="1" applyFill="1" applyBorder="1" applyAlignment="1">
      <alignment horizontal="center" vertical="center"/>
    </xf>
    <xf numFmtId="0" fontId="2" fillId="5" borderId="49" xfId="4" applyFont="1" applyFill="1" applyBorder="1" applyAlignment="1">
      <alignment horizontal="center" vertical="center"/>
    </xf>
    <xf numFmtId="0" fontId="2" fillId="5" borderId="50" xfId="4" applyFont="1" applyFill="1" applyBorder="1" applyAlignment="1">
      <alignment horizontal="center" vertical="center"/>
    </xf>
    <xf numFmtId="0" fontId="10" fillId="7" borderId="48" xfId="4" applyFont="1" applyFill="1" applyBorder="1" applyAlignment="1">
      <alignment horizontal="left" vertical="center" wrapText="1"/>
    </xf>
    <xf numFmtId="0" fontId="10" fillId="7" borderId="49" xfId="4" applyFont="1" applyFill="1" applyBorder="1" applyAlignment="1">
      <alignment horizontal="left" vertical="center" wrapText="1"/>
    </xf>
    <xf numFmtId="0" fontId="10" fillId="7" borderId="50" xfId="4" applyFont="1" applyFill="1" applyBorder="1" applyAlignment="1">
      <alignment horizontal="left" vertical="center" wrapText="1"/>
    </xf>
    <xf numFmtId="10" fontId="2" fillId="7" borderId="51" xfId="5" applyNumberFormat="1" applyFont="1" applyFill="1" applyBorder="1" applyAlignment="1">
      <alignment horizontal="center" vertical="center"/>
    </xf>
    <xf numFmtId="10" fontId="2" fillId="7" borderId="60" xfId="5" applyNumberFormat="1" applyFont="1" applyFill="1" applyBorder="1" applyAlignment="1">
      <alignment horizontal="center" vertical="center"/>
    </xf>
    <xf numFmtId="10" fontId="2" fillId="8" borderId="51" xfId="5" applyNumberFormat="1" applyFont="1" applyFill="1" applyBorder="1" applyAlignment="1">
      <alignment horizontal="center" vertical="center"/>
    </xf>
    <xf numFmtId="10" fontId="2" fillId="8" borderId="60" xfId="5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8" fillId="9" borderId="29" xfId="0" applyFont="1" applyFill="1" applyBorder="1" applyAlignment="1">
      <alignment horizontal="center" vertical="center"/>
    </xf>
    <xf numFmtId="0" fontId="18" fillId="9" borderId="30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0" fontId="5" fillId="9" borderId="32" xfId="0" applyFont="1" applyFill="1" applyBorder="1" applyAlignment="1">
      <alignment horizontal="left" vertical="center"/>
    </xf>
    <xf numFmtId="0" fontId="5" fillId="9" borderId="33" xfId="0" applyFont="1" applyFill="1" applyBorder="1" applyAlignment="1">
      <alignment horizontal="left" vertical="center"/>
    </xf>
    <xf numFmtId="0" fontId="5" fillId="9" borderId="34" xfId="0" applyFont="1" applyFill="1" applyBorder="1" applyAlignment="1">
      <alignment horizontal="left" vertical="center"/>
    </xf>
    <xf numFmtId="0" fontId="5" fillId="9" borderId="44" xfId="0" applyFont="1" applyFill="1" applyBorder="1" applyAlignment="1">
      <alignment horizontal="left" vertical="center"/>
    </xf>
    <xf numFmtId="0" fontId="5" fillId="9" borderId="45" xfId="0" applyFont="1" applyFill="1" applyBorder="1" applyAlignment="1">
      <alignment horizontal="left" vertical="center"/>
    </xf>
    <xf numFmtId="0" fontId="5" fillId="9" borderId="40" xfId="0" applyFont="1" applyFill="1" applyBorder="1" applyAlignment="1">
      <alignment horizontal="left" vertical="justify"/>
    </xf>
    <xf numFmtId="0" fontId="5" fillId="9" borderId="18" xfId="0" applyFont="1" applyFill="1" applyBorder="1" applyAlignment="1">
      <alignment horizontal="left" vertical="justify"/>
    </xf>
    <xf numFmtId="0" fontId="5" fillId="9" borderId="64" xfId="0" applyFont="1" applyFill="1" applyBorder="1" applyAlignment="1">
      <alignment horizontal="left" vertical="justify"/>
    </xf>
    <xf numFmtId="0" fontId="5" fillId="9" borderId="5" xfId="0" applyFont="1" applyFill="1" applyBorder="1" applyAlignment="1">
      <alignment horizontal="left" vertical="justify"/>
    </xf>
    <xf numFmtId="0" fontId="5" fillId="9" borderId="5" xfId="0" applyFont="1" applyFill="1" applyBorder="1" applyAlignment="1">
      <alignment horizontal="left" vertical="center"/>
    </xf>
    <xf numFmtId="0" fontId="5" fillId="9" borderId="18" xfId="0" applyFont="1" applyFill="1" applyBorder="1" applyAlignment="1">
      <alignment horizontal="left" vertical="center"/>
    </xf>
    <xf numFmtId="0" fontId="5" fillId="9" borderId="65" xfId="0" applyFont="1" applyFill="1" applyBorder="1" applyAlignment="1">
      <alignment horizontal="left" vertical="center"/>
    </xf>
    <xf numFmtId="0" fontId="6" fillId="9" borderId="14" xfId="0" applyFont="1" applyFill="1" applyBorder="1" applyAlignment="1">
      <alignment horizontal="center" vertical="center" wrapText="1"/>
    </xf>
    <xf numFmtId="0" fontId="6" fillId="9" borderId="71" xfId="0" applyFont="1" applyFill="1" applyBorder="1" applyAlignment="1">
      <alignment horizontal="center" vertical="center" wrapText="1"/>
    </xf>
    <xf numFmtId="49" fontId="6" fillId="9" borderId="15" xfId="0" applyNumberFormat="1" applyFont="1" applyFill="1" applyBorder="1" applyAlignment="1">
      <alignment horizontal="center" vertical="center" wrapText="1"/>
    </xf>
    <xf numFmtId="49" fontId="6" fillId="9" borderId="69" xfId="0" applyNumberFormat="1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vertical="center" wrapText="1"/>
    </xf>
    <xf numFmtId="0" fontId="6" fillId="9" borderId="69" xfId="0" applyFont="1" applyFill="1" applyBorder="1" applyAlignment="1">
      <alignment vertical="center" wrapText="1"/>
    </xf>
    <xf numFmtId="0" fontId="6" fillId="9" borderId="74" xfId="0" applyFont="1" applyFill="1" applyBorder="1" applyAlignment="1">
      <alignment horizontal="center" vertical="center" wrapText="1"/>
    </xf>
    <xf numFmtId="49" fontId="6" fillId="9" borderId="75" xfId="0" applyNumberFormat="1" applyFont="1" applyFill="1" applyBorder="1" applyAlignment="1">
      <alignment horizontal="center" vertical="center" wrapText="1"/>
    </xf>
    <xf numFmtId="0" fontId="6" fillId="9" borderId="75" xfId="0" applyFont="1" applyFill="1" applyBorder="1" applyAlignment="1">
      <alignment vertical="center" wrapText="1"/>
    </xf>
    <xf numFmtId="0" fontId="6" fillId="9" borderId="76" xfId="0" applyFont="1" applyFill="1" applyBorder="1" applyAlignment="1">
      <alignment horizontal="center" vertical="center" wrapText="1"/>
    </xf>
    <xf numFmtId="0" fontId="6" fillId="9" borderId="77" xfId="0" applyFont="1" applyFill="1" applyBorder="1" applyAlignment="1">
      <alignment horizontal="center" vertical="center" wrapText="1"/>
    </xf>
    <xf numFmtId="0" fontId="6" fillId="9" borderId="69" xfId="0" applyFont="1" applyFill="1" applyBorder="1" applyAlignment="1">
      <alignment horizontal="center" vertical="center" wrapText="1"/>
    </xf>
    <xf numFmtId="0" fontId="6" fillId="9" borderId="75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9" borderId="78" xfId="0" applyFont="1" applyFill="1" applyBorder="1" applyAlignment="1">
      <alignment horizontal="center" vertical="center" wrapText="1"/>
    </xf>
    <xf numFmtId="0" fontId="5" fillId="9" borderId="36" xfId="0" applyFont="1" applyFill="1" applyBorder="1" applyAlignment="1">
      <alignment horizontal="center" vertical="center" wrapText="1"/>
    </xf>
    <xf numFmtId="0" fontId="5" fillId="9" borderId="79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 wrapText="1"/>
    </xf>
    <xf numFmtId="0" fontId="5" fillId="9" borderId="82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wrapText="1"/>
    </xf>
    <xf numFmtId="0" fontId="6" fillId="9" borderId="86" xfId="0" applyFont="1" applyFill="1" applyBorder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86" xfId="0" applyFont="1" applyBorder="1" applyAlignment="1">
      <alignment horizontal="left" vertical="center"/>
    </xf>
  </cellXfs>
  <cellStyles count="6">
    <cellStyle name="Normal" xfId="0" builtinId="0"/>
    <cellStyle name="Normal 10" xfId="4" xr:uid="{2E99A39D-717F-4FDA-9B51-EB4B54B8542E}"/>
    <cellStyle name="Normal 2" xfId="1" xr:uid="{00000000-0005-0000-0000-000001000000}"/>
    <cellStyle name="Porcentagem" xfId="2" builtinId="5"/>
    <cellStyle name="Porcentagem 2 2" xfId="5" xr:uid="{22883CFE-431A-46B2-8997-416994E9710C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A-MEUS%20DOCUMENTOS/PMIBERTIOGA_22-24/1_1&#170;%20ETAPA%20-%20PO&#199;O%20TUBULAR%20PROFUNDO_2024%20-%20PORTEIRINHA/PLANILHA%20OR&#199;AMENT&#193;RIA%20-%20%20%201&#170;%20ETAPA%20-%20PO&#199;O%20TUBULAR%20PROFUNDO%20-%20PORTEIRIN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OTAÇÕES DE PREÇOS"/>
      <sheetName val="COMPOSIÇÕES DE CUSTOS"/>
      <sheetName val="CÁLCULO DE RESERVATÓRIOS"/>
      <sheetName val="DIMENSIONAMENTO DE MOTOBOMBA"/>
      <sheetName val="PLANILHA DE LEVANTAMENTO"/>
      <sheetName val="DEMONSTRATIVO BDI"/>
      <sheetName val="CRONOGRAMA FÍSICO-FINANCEIRO"/>
    </sheetNames>
    <sheetDataSet>
      <sheetData sheetId="0">
        <row r="106">
          <cell r="B106" t="str">
            <v>CLIFFORD PETERLE REZENDE</v>
          </cell>
          <cell r="D106" t="str">
            <v>RICARDO MARCELO PIRES DE OLIVEIRA</v>
          </cell>
        </row>
        <row r="107">
          <cell r="B107" t="str">
            <v>ENGENHEIRO CIVIL - CREAMG Nº56.477/D</v>
          </cell>
          <cell r="D107" t="str">
            <v>PREFEITO MUNICIPAL DE IBERTIOGA-MG</v>
          </cell>
        </row>
        <row r="108">
          <cell r="B108" t="str">
            <v>R. T. MUNICÍPO DE IBERTIOGA-MG</v>
          </cell>
        </row>
      </sheetData>
      <sheetData sheetId="1">
        <row r="63">
          <cell r="C63" t="str">
            <v>TUBO GALVANIZADO 1 1/2" - PAREDE 3.35MM GALVANIZADO A FOGO (TUBO EDUTOR)</v>
          </cell>
        </row>
        <row r="70">
          <cell r="C70" t="str">
            <v>TUBO AÇO PRETO DE 6" - PAREDE 3.35MM (TUBO DE REVESTIMENTO)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1560E-C55F-4E4D-82EC-A372D53572C9}">
  <dimension ref="A1:R107"/>
  <sheetViews>
    <sheetView tabSelected="1" zoomScale="90" zoomScaleNormal="90" workbookViewId="0">
      <selection activeCell="D106" sqref="D106"/>
    </sheetView>
  </sheetViews>
  <sheetFormatPr defaultColWidth="8.5546875" defaultRowHeight="14.4" x14ac:dyDescent="0.3"/>
  <cols>
    <col min="1" max="1" width="9.5546875" style="1" bestFit="1" customWidth="1"/>
    <col min="2" max="2" width="27.33203125" style="1" bestFit="1" customWidth="1"/>
    <col min="3" max="3" width="91.88671875" style="1" customWidth="1"/>
    <col min="4" max="4" width="11.6640625" style="2" bestFit="1" customWidth="1"/>
    <col min="5" max="5" width="11.109375" style="2" bestFit="1" customWidth="1"/>
    <col min="6" max="6" width="14.88671875" style="107" customWidth="1"/>
    <col min="7" max="7" width="12.6640625" style="1" customWidth="1"/>
    <col min="8" max="8" width="14.33203125" style="1" customWidth="1"/>
    <col min="9" max="9" width="17" style="1" customWidth="1"/>
    <col min="10" max="10" width="15.33203125" style="253" hidden="1" customWidth="1"/>
    <col min="11" max="11" width="8.6640625" style="1" customWidth="1"/>
    <col min="12" max="12" width="13.44140625" style="1" hidden="1" customWidth="1"/>
    <col min="13" max="13" width="5.5546875" style="1" hidden="1" customWidth="1"/>
    <col min="14" max="14" width="13.109375" style="1" hidden="1" customWidth="1"/>
    <col min="15" max="15" width="4.6640625" style="1" hidden="1" customWidth="1"/>
    <col min="16" max="16" width="12.77734375" style="1" hidden="1" customWidth="1"/>
    <col min="17" max="17" width="9.109375" style="1" hidden="1" customWidth="1"/>
    <col min="18" max="18" width="0" style="1" hidden="1" customWidth="1"/>
    <col min="19" max="16384" width="8.5546875" style="1"/>
  </cols>
  <sheetData>
    <row r="1" spans="1:18" ht="114" customHeight="1" thickBot="1" x14ac:dyDescent="0.35">
      <c r="A1" s="453"/>
      <c r="B1" s="454"/>
      <c r="C1" s="454"/>
      <c r="D1" s="454"/>
      <c r="E1" s="454"/>
      <c r="F1" s="454"/>
      <c r="G1" s="454"/>
      <c r="H1" s="454"/>
      <c r="I1" s="455"/>
    </row>
    <row r="2" spans="1:18" ht="26.4" thickBot="1" x14ac:dyDescent="0.35">
      <c r="A2" s="456" t="s">
        <v>203</v>
      </c>
      <c r="B2" s="457"/>
      <c r="C2" s="457"/>
      <c r="D2" s="457"/>
      <c r="E2" s="457"/>
      <c r="F2" s="457"/>
      <c r="G2" s="457"/>
      <c r="H2" s="457"/>
      <c r="I2" s="458"/>
      <c r="N2" s="243" t="s">
        <v>230</v>
      </c>
      <c r="O2" s="244"/>
      <c r="P2" s="245">
        <v>4</v>
      </c>
      <c r="Q2" s="246" t="s">
        <v>105</v>
      </c>
    </row>
    <row r="3" spans="1:18" s="40" customFormat="1" thickBot="1" x14ac:dyDescent="0.35">
      <c r="A3" s="459"/>
      <c r="B3" s="460"/>
      <c r="C3" s="460"/>
      <c r="D3" s="460"/>
      <c r="E3" s="460"/>
      <c r="F3" s="460"/>
      <c r="G3" s="460"/>
      <c r="H3" s="460"/>
      <c r="I3" s="461"/>
      <c r="J3" s="56"/>
    </row>
    <row r="4" spans="1:18" s="40" customFormat="1" ht="13.8" x14ac:dyDescent="0.3">
      <c r="A4" s="462" t="s">
        <v>219</v>
      </c>
      <c r="B4" s="463"/>
      <c r="C4" s="463"/>
      <c r="D4" s="463"/>
      <c r="E4" s="463"/>
      <c r="F4" s="463"/>
      <c r="G4" s="39"/>
      <c r="H4" s="477" t="s">
        <v>411</v>
      </c>
      <c r="I4" s="478"/>
      <c r="J4" s="56"/>
    </row>
    <row r="5" spans="1:18" s="40" customFormat="1" ht="13.8" customHeight="1" x14ac:dyDescent="0.3">
      <c r="A5" s="464" t="s">
        <v>410</v>
      </c>
      <c r="B5" s="465"/>
      <c r="C5" s="465"/>
      <c r="D5" s="465"/>
      <c r="E5" s="465"/>
      <c r="F5" s="466"/>
      <c r="G5" s="116"/>
      <c r="H5" s="479"/>
      <c r="I5" s="480"/>
      <c r="J5" s="56"/>
    </row>
    <row r="6" spans="1:18" s="40" customFormat="1" ht="28.2" customHeight="1" x14ac:dyDescent="0.3">
      <c r="A6" s="467" t="s">
        <v>409</v>
      </c>
      <c r="B6" s="468"/>
      <c r="C6" s="468"/>
      <c r="D6" s="469"/>
      <c r="E6" s="394" t="s">
        <v>394</v>
      </c>
      <c r="F6" s="113">
        <v>0.03</v>
      </c>
      <c r="G6" s="4"/>
      <c r="H6" s="470" t="s">
        <v>391</v>
      </c>
      <c r="I6" s="471"/>
      <c r="J6" s="56"/>
    </row>
    <row r="7" spans="1:18" s="40" customFormat="1" ht="13.8" customHeight="1" x14ac:dyDescent="0.3">
      <c r="A7" s="481" t="s">
        <v>373</v>
      </c>
      <c r="B7" s="482"/>
      <c r="C7" s="482"/>
      <c r="D7" s="482"/>
      <c r="E7" s="482"/>
      <c r="F7" s="482"/>
      <c r="G7" s="483"/>
      <c r="H7" s="3" t="s">
        <v>392</v>
      </c>
      <c r="I7" s="393">
        <v>0.29199999999999998</v>
      </c>
      <c r="J7" s="56"/>
    </row>
    <row r="8" spans="1:18" s="40" customFormat="1" thickBot="1" x14ac:dyDescent="0.35">
      <c r="A8" s="472" t="s">
        <v>395</v>
      </c>
      <c r="B8" s="473"/>
      <c r="C8" s="473"/>
      <c r="D8" s="473"/>
      <c r="E8" s="473"/>
      <c r="F8" s="473"/>
      <c r="G8" s="115"/>
      <c r="H8" s="95" t="s">
        <v>393</v>
      </c>
      <c r="I8" s="96">
        <v>0.2054</v>
      </c>
      <c r="J8" s="56"/>
    </row>
    <row r="9" spans="1:18" s="40" customFormat="1" thickBot="1" x14ac:dyDescent="0.35">
      <c r="A9" s="474"/>
      <c r="B9" s="475"/>
      <c r="C9" s="475"/>
      <c r="D9" s="475"/>
      <c r="E9" s="475"/>
      <c r="F9" s="475"/>
      <c r="G9" s="475"/>
      <c r="H9" s="475"/>
      <c r="I9" s="476"/>
      <c r="J9" s="56"/>
    </row>
    <row r="10" spans="1:18" s="40" customFormat="1" ht="42" thickBot="1" x14ac:dyDescent="0.35">
      <c r="A10" s="5" t="s">
        <v>39</v>
      </c>
      <c r="B10" s="114" t="s">
        <v>110</v>
      </c>
      <c r="C10" s="114" t="s">
        <v>0</v>
      </c>
      <c r="D10" s="6" t="s">
        <v>105</v>
      </c>
      <c r="E10" s="6" t="s">
        <v>152</v>
      </c>
      <c r="F10" s="98" t="s">
        <v>150</v>
      </c>
      <c r="G10" s="114" t="s">
        <v>153</v>
      </c>
      <c r="H10" s="114" t="s">
        <v>151</v>
      </c>
      <c r="I10" s="7" t="s">
        <v>40</v>
      </c>
      <c r="J10" s="56"/>
      <c r="N10" s="6" t="s">
        <v>231</v>
      </c>
      <c r="P10" s="6" t="s">
        <v>232</v>
      </c>
    </row>
    <row r="11" spans="1:18" s="40" customFormat="1" ht="13.8" x14ac:dyDescent="0.3">
      <c r="A11" s="450" t="s">
        <v>106</v>
      </c>
      <c r="B11" s="451"/>
      <c r="C11" s="451"/>
      <c r="D11" s="451"/>
      <c r="E11" s="451"/>
      <c r="F11" s="451"/>
      <c r="G11" s="451"/>
      <c r="H11" s="452"/>
      <c r="I11" s="8"/>
      <c r="J11" s="56"/>
    </row>
    <row r="12" spans="1:18" s="40" customFormat="1" ht="13.8" x14ac:dyDescent="0.3">
      <c r="A12" s="372"/>
      <c r="B12" s="373"/>
      <c r="C12" s="373"/>
      <c r="D12" s="373"/>
      <c r="E12" s="373"/>
      <c r="F12" s="374"/>
      <c r="G12" s="373"/>
      <c r="H12" s="373"/>
      <c r="I12" s="375"/>
      <c r="J12" s="56"/>
    </row>
    <row r="13" spans="1:18" s="40" customFormat="1" ht="13.8" x14ac:dyDescent="0.3">
      <c r="A13" s="9" t="s">
        <v>41</v>
      </c>
      <c r="B13" s="445"/>
      <c r="C13" s="10" t="s">
        <v>1</v>
      </c>
      <c r="D13" s="446"/>
      <c r="E13" s="447"/>
      <c r="F13" s="447"/>
      <c r="G13" s="447"/>
      <c r="H13" s="447"/>
      <c r="I13" s="448"/>
      <c r="J13" s="56"/>
      <c r="K13" s="41"/>
      <c r="L13" s="41"/>
      <c r="M13" s="41"/>
    </row>
    <row r="14" spans="1:18" s="40" customFormat="1" ht="13.8" x14ac:dyDescent="0.3">
      <c r="A14" s="9" t="s">
        <v>42</v>
      </c>
      <c r="B14" s="432"/>
      <c r="C14" s="10" t="s">
        <v>111</v>
      </c>
      <c r="D14" s="436"/>
      <c r="E14" s="437"/>
      <c r="F14" s="437"/>
      <c r="G14" s="437"/>
      <c r="H14" s="437"/>
      <c r="I14" s="438"/>
      <c r="J14" s="56"/>
    </row>
    <row r="15" spans="1:18" s="42" customFormat="1" ht="13.8" x14ac:dyDescent="0.3">
      <c r="A15" s="33" t="s">
        <v>43</v>
      </c>
      <c r="B15" s="369" t="s">
        <v>267</v>
      </c>
      <c r="C15" s="15" t="s">
        <v>266</v>
      </c>
      <c r="D15" s="12" t="s">
        <v>10</v>
      </c>
      <c r="E15" s="16">
        <f>P15</f>
        <v>4</v>
      </c>
      <c r="F15" s="16">
        <v>195.35</v>
      </c>
      <c r="G15" s="38">
        <f>$I$7</f>
        <v>0.29199999999999998</v>
      </c>
      <c r="H15" s="16">
        <f>ROUND(F15*G15+F15,2)</f>
        <v>252.39</v>
      </c>
      <c r="I15" s="251">
        <f t="shared" ref="I15" si="0">ROUND(E15*H15,2)</f>
        <v>1009.56</v>
      </c>
      <c r="J15" s="254">
        <v>86.95</v>
      </c>
      <c r="N15" s="16">
        <v>1</v>
      </c>
      <c r="P15" s="249">
        <f>N15*$P$2</f>
        <v>4</v>
      </c>
      <c r="R15" s="42" t="s">
        <v>217</v>
      </c>
    </row>
    <row r="16" spans="1:18" s="40" customFormat="1" thickBot="1" x14ac:dyDescent="0.35">
      <c r="A16" s="33" t="s">
        <v>44</v>
      </c>
      <c r="B16" s="12" t="s">
        <v>122</v>
      </c>
      <c r="C16" s="15" t="s">
        <v>198</v>
      </c>
      <c r="D16" s="12" t="s">
        <v>8</v>
      </c>
      <c r="E16" s="16">
        <f>P16</f>
        <v>18</v>
      </c>
      <c r="F16" s="16">
        <v>392.73</v>
      </c>
      <c r="G16" s="38">
        <f>$I$7</f>
        <v>0.29199999999999998</v>
      </c>
      <c r="H16" s="16">
        <f t="shared" ref="H16" si="1">ROUND(F16*G16+F16,2)</f>
        <v>507.41</v>
      </c>
      <c r="I16" s="34">
        <f t="shared" ref="I16" si="2">ROUND(E16*H16,2)</f>
        <v>9133.3799999999992</v>
      </c>
      <c r="J16" s="56">
        <v>726.5</v>
      </c>
      <c r="N16" s="16">
        <v>4.5</v>
      </c>
      <c r="P16" s="249">
        <f>N16*$P$2</f>
        <v>18</v>
      </c>
    </row>
    <row r="17" spans="1:17" s="40" customFormat="1" thickBot="1" x14ac:dyDescent="0.35">
      <c r="A17" s="425" t="s">
        <v>114</v>
      </c>
      <c r="B17" s="426"/>
      <c r="C17" s="426"/>
      <c r="D17" s="426"/>
      <c r="E17" s="426"/>
      <c r="F17" s="426"/>
      <c r="G17" s="426"/>
      <c r="H17" s="427"/>
      <c r="I17" s="20">
        <f>SUM(I15:I16)</f>
        <v>10142.939999999999</v>
      </c>
      <c r="J17" s="56"/>
      <c r="P17" s="249"/>
    </row>
    <row r="18" spans="1:17" s="40" customFormat="1" ht="13.8" x14ac:dyDescent="0.3">
      <c r="A18" s="21" t="s">
        <v>45</v>
      </c>
      <c r="B18" s="431"/>
      <c r="C18" s="22" t="s">
        <v>329</v>
      </c>
      <c r="D18" s="433"/>
      <c r="E18" s="434"/>
      <c r="F18" s="434"/>
      <c r="G18" s="434"/>
      <c r="H18" s="434"/>
      <c r="I18" s="435"/>
      <c r="J18" s="56"/>
      <c r="K18" s="43"/>
      <c r="L18" s="43"/>
      <c r="M18" s="43"/>
      <c r="N18" s="43"/>
      <c r="P18" s="249"/>
    </row>
    <row r="19" spans="1:17" s="40" customFormat="1" ht="13.8" x14ac:dyDescent="0.3">
      <c r="A19" s="9" t="s">
        <v>46</v>
      </c>
      <c r="B19" s="432"/>
      <c r="C19" s="10" t="s">
        <v>2</v>
      </c>
      <c r="D19" s="436"/>
      <c r="E19" s="437"/>
      <c r="F19" s="437"/>
      <c r="G19" s="437"/>
      <c r="H19" s="437"/>
      <c r="I19" s="438"/>
      <c r="J19" s="56"/>
      <c r="K19" s="43"/>
      <c r="L19" s="43"/>
      <c r="M19" s="43"/>
      <c r="P19" s="249"/>
    </row>
    <row r="20" spans="1:17" s="40" customFormat="1" ht="13.8" x14ac:dyDescent="0.3">
      <c r="A20" s="11" t="s">
        <v>47</v>
      </c>
      <c r="B20" s="23" t="s">
        <v>123</v>
      </c>
      <c r="C20" s="15" t="s">
        <v>116</v>
      </c>
      <c r="D20" s="12" t="s">
        <v>10</v>
      </c>
      <c r="E20" s="24">
        <f>P20</f>
        <v>4</v>
      </c>
      <c r="F20" s="250">
        <v>735.59</v>
      </c>
      <c r="G20" s="38">
        <f>$I$7</f>
        <v>0.29199999999999998</v>
      </c>
      <c r="H20" s="24">
        <f t="shared" ref="H20:H38" si="3">ROUND(F20*G20+F20,2)</f>
        <v>950.38</v>
      </c>
      <c r="I20" s="251">
        <f t="shared" ref="I20:I38" si="4">ROUND(E20*H20,2)</f>
        <v>3801.52</v>
      </c>
      <c r="J20" s="56">
        <v>336.56</v>
      </c>
      <c r="K20" s="43"/>
      <c r="L20" s="43"/>
      <c r="M20" s="43"/>
      <c r="N20" s="24">
        <v>1</v>
      </c>
      <c r="P20" s="24">
        <f t="shared" ref="P20:P38" si="5">N20*$P$2</f>
        <v>4</v>
      </c>
    </row>
    <row r="21" spans="1:17" s="40" customFormat="1" ht="27.6" x14ac:dyDescent="0.3">
      <c r="A21" s="11" t="s">
        <v>48</v>
      </c>
      <c r="B21" s="23" t="s">
        <v>124</v>
      </c>
      <c r="C21" s="15" t="s">
        <v>12</v>
      </c>
      <c r="D21" s="12" t="s">
        <v>13</v>
      </c>
      <c r="E21" s="24">
        <f t="shared" ref="E21:E38" si="6">P21</f>
        <v>800</v>
      </c>
      <c r="F21" s="250">
        <v>24.66</v>
      </c>
      <c r="G21" s="38">
        <f t="shared" ref="G21:G38" si="7">$I$7</f>
        <v>0.29199999999999998</v>
      </c>
      <c r="H21" s="24">
        <f t="shared" si="3"/>
        <v>31.86</v>
      </c>
      <c r="I21" s="251">
        <f t="shared" si="4"/>
        <v>25488</v>
      </c>
      <c r="J21" s="56">
        <v>7.69</v>
      </c>
      <c r="K21" s="43"/>
      <c r="L21" s="43"/>
      <c r="M21" s="43"/>
      <c r="N21" s="24">
        <v>200</v>
      </c>
      <c r="P21" s="24">
        <f t="shared" si="5"/>
        <v>800</v>
      </c>
    </row>
    <row r="22" spans="1:17" s="40" customFormat="1" ht="27.6" x14ac:dyDescent="0.3">
      <c r="A22" s="11" t="s">
        <v>49</v>
      </c>
      <c r="B22" s="23" t="s">
        <v>125</v>
      </c>
      <c r="C22" s="15" t="s">
        <v>14</v>
      </c>
      <c r="D22" s="12" t="s">
        <v>13</v>
      </c>
      <c r="E22" s="24">
        <f t="shared" si="6"/>
        <v>800</v>
      </c>
      <c r="F22" s="250">
        <v>6.24</v>
      </c>
      <c r="G22" s="38">
        <f t="shared" si="7"/>
        <v>0.29199999999999998</v>
      </c>
      <c r="H22" s="24">
        <f t="shared" si="3"/>
        <v>8.06</v>
      </c>
      <c r="I22" s="251">
        <f t="shared" si="4"/>
        <v>6448</v>
      </c>
      <c r="J22" s="56">
        <v>2.14</v>
      </c>
      <c r="K22" s="43"/>
      <c r="L22" s="43"/>
      <c r="M22" s="43"/>
      <c r="N22" s="24">
        <v>200</v>
      </c>
      <c r="P22" s="24">
        <f t="shared" si="5"/>
        <v>800</v>
      </c>
    </row>
    <row r="23" spans="1:17" s="40" customFormat="1" ht="13.8" x14ac:dyDescent="0.3">
      <c r="A23" s="11" t="s">
        <v>50</v>
      </c>
      <c r="B23" s="12" t="s">
        <v>126</v>
      </c>
      <c r="C23" s="15" t="s">
        <v>15</v>
      </c>
      <c r="D23" s="12" t="s">
        <v>9</v>
      </c>
      <c r="E23" s="24">
        <f t="shared" si="6"/>
        <v>40</v>
      </c>
      <c r="F23" s="250">
        <v>224.08</v>
      </c>
      <c r="G23" s="38">
        <f t="shared" si="7"/>
        <v>0.29199999999999998</v>
      </c>
      <c r="H23" s="24">
        <f t="shared" si="3"/>
        <v>289.51</v>
      </c>
      <c r="I23" s="251">
        <f t="shared" si="4"/>
        <v>11580.4</v>
      </c>
      <c r="J23" s="56">
        <v>69.62</v>
      </c>
      <c r="K23" s="43"/>
      <c r="L23" s="43">
        <f>SUM(N23:N27)</f>
        <v>75</v>
      </c>
      <c r="M23" s="43"/>
      <c r="N23" s="24">
        <v>10</v>
      </c>
      <c r="P23" s="24">
        <f t="shared" si="5"/>
        <v>40</v>
      </c>
      <c r="Q23" s="44"/>
    </row>
    <row r="24" spans="1:17" s="40" customFormat="1" ht="13.8" x14ac:dyDescent="0.3">
      <c r="A24" s="11" t="s">
        <v>51</v>
      </c>
      <c r="B24" s="12" t="s">
        <v>127</v>
      </c>
      <c r="C24" s="15" t="s">
        <v>16</v>
      </c>
      <c r="D24" s="12" t="s">
        <v>9</v>
      </c>
      <c r="E24" s="24">
        <f t="shared" si="6"/>
        <v>40</v>
      </c>
      <c r="F24" s="250">
        <v>256.2</v>
      </c>
      <c r="G24" s="38">
        <f t="shared" si="7"/>
        <v>0.29199999999999998</v>
      </c>
      <c r="H24" s="24">
        <f t="shared" si="3"/>
        <v>331.01</v>
      </c>
      <c r="I24" s="251">
        <f t="shared" si="4"/>
        <v>13240.4</v>
      </c>
      <c r="J24" s="56">
        <v>81.38</v>
      </c>
      <c r="K24" s="45"/>
      <c r="L24" s="45"/>
      <c r="M24" s="45"/>
      <c r="N24" s="24">
        <v>10</v>
      </c>
      <c r="P24" s="24">
        <f t="shared" si="5"/>
        <v>40</v>
      </c>
      <c r="Q24" s="44"/>
    </row>
    <row r="25" spans="1:17" s="40" customFormat="1" ht="13.8" x14ac:dyDescent="0.3">
      <c r="A25" s="11" t="s">
        <v>52</v>
      </c>
      <c r="B25" s="12" t="s">
        <v>128</v>
      </c>
      <c r="C25" s="15" t="s">
        <v>17</v>
      </c>
      <c r="D25" s="12" t="s">
        <v>9</v>
      </c>
      <c r="E25" s="24">
        <f t="shared" si="6"/>
        <v>40</v>
      </c>
      <c r="F25" s="250">
        <v>262.85000000000002</v>
      </c>
      <c r="G25" s="38">
        <f t="shared" si="7"/>
        <v>0.29199999999999998</v>
      </c>
      <c r="H25" s="24">
        <f t="shared" si="3"/>
        <v>339.6</v>
      </c>
      <c r="I25" s="251">
        <f t="shared" si="4"/>
        <v>13584</v>
      </c>
      <c r="J25" s="56">
        <v>85.14</v>
      </c>
      <c r="N25" s="24">
        <v>10</v>
      </c>
      <c r="P25" s="24">
        <f t="shared" si="5"/>
        <v>40</v>
      </c>
      <c r="Q25" s="44"/>
    </row>
    <row r="26" spans="1:17" s="40" customFormat="1" ht="13.8" x14ac:dyDescent="0.3">
      <c r="A26" s="11" t="s">
        <v>53</v>
      </c>
      <c r="B26" s="12" t="s">
        <v>129</v>
      </c>
      <c r="C26" s="15" t="s">
        <v>18</v>
      </c>
      <c r="D26" s="12" t="s">
        <v>9</v>
      </c>
      <c r="E26" s="24">
        <f t="shared" si="6"/>
        <v>140</v>
      </c>
      <c r="F26" s="250">
        <v>216.73</v>
      </c>
      <c r="G26" s="38">
        <f t="shared" si="7"/>
        <v>0.29199999999999998</v>
      </c>
      <c r="H26" s="24">
        <f t="shared" si="3"/>
        <v>280.02</v>
      </c>
      <c r="I26" s="251">
        <f t="shared" si="4"/>
        <v>39202.800000000003</v>
      </c>
      <c r="J26" s="56">
        <v>80.849999999999994</v>
      </c>
      <c r="N26" s="24">
        <v>35</v>
      </c>
      <c r="P26" s="24">
        <f t="shared" si="5"/>
        <v>140</v>
      </c>
      <c r="Q26" s="44"/>
    </row>
    <row r="27" spans="1:17" s="40" customFormat="1" ht="13.8" x14ac:dyDescent="0.3">
      <c r="A27" s="11" t="s">
        <v>54</v>
      </c>
      <c r="B27" s="12" t="s">
        <v>130</v>
      </c>
      <c r="C27" s="15" t="s">
        <v>19</v>
      </c>
      <c r="D27" s="12" t="s">
        <v>9</v>
      </c>
      <c r="E27" s="24">
        <f t="shared" si="6"/>
        <v>40</v>
      </c>
      <c r="F27" s="250">
        <v>226.73</v>
      </c>
      <c r="G27" s="38">
        <f t="shared" si="7"/>
        <v>0.29199999999999998</v>
      </c>
      <c r="H27" s="24">
        <f t="shared" si="3"/>
        <v>292.94</v>
      </c>
      <c r="I27" s="251">
        <f t="shared" si="4"/>
        <v>11717.6</v>
      </c>
      <c r="J27" s="56">
        <v>94.61</v>
      </c>
      <c r="K27" s="43"/>
      <c r="L27" s="43"/>
      <c r="M27" s="43"/>
      <c r="N27" s="24">
        <v>10</v>
      </c>
      <c r="P27" s="24">
        <f t="shared" si="5"/>
        <v>40</v>
      </c>
      <c r="Q27" s="44"/>
    </row>
    <row r="28" spans="1:17" s="40" customFormat="1" ht="27.6" x14ac:dyDescent="0.3">
      <c r="A28" s="11" t="s">
        <v>55</v>
      </c>
      <c r="B28" s="12" t="s">
        <v>131</v>
      </c>
      <c r="C28" s="15" t="s">
        <v>20</v>
      </c>
      <c r="D28" s="12" t="s">
        <v>21</v>
      </c>
      <c r="E28" s="24">
        <f t="shared" si="6"/>
        <v>16</v>
      </c>
      <c r="F28" s="250">
        <v>41.09</v>
      </c>
      <c r="G28" s="38">
        <f t="shared" si="7"/>
        <v>0.29199999999999998</v>
      </c>
      <c r="H28" s="24">
        <f t="shared" si="3"/>
        <v>53.09</v>
      </c>
      <c r="I28" s="251">
        <f t="shared" si="4"/>
        <v>849.44</v>
      </c>
      <c r="J28" s="56">
        <v>12.03</v>
      </c>
      <c r="K28" s="43"/>
      <c r="L28" s="43"/>
      <c r="M28" s="43"/>
      <c r="N28" s="24">
        <v>4</v>
      </c>
      <c r="P28" s="24">
        <f t="shared" si="5"/>
        <v>16</v>
      </c>
      <c r="Q28" s="41"/>
    </row>
    <row r="29" spans="1:17" s="40" customFormat="1" ht="13.8" x14ac:dyDescent="0.3">
      <c r="A29" s="11" t="s">
        <v>56</v>
      </c>
      <c r="B29" s="12" t="s">
        <v>132</v>
      </c>
      <c r="C29" s="15" t="s">
        <v>22</v>
      </c>
      <c r="D29" s="12" t="s">
        <v>11</v>
      </c>
      <c r="E29" s="24">
        <f t="shared" si="6"/>
        <v>8</v>
      </c>
      <c r="F29" s="250">
        <v>287.47000000000003</v>
      </c>
      <c r="G29" s="38">
        <f t="shared" si="7"/>
        <v>0.29199999999999998</v>
      </c>
      <c r="H29" s="24">
        <f t="shared" si="3"/>
        <v>371.41</v>
      </c>
      <c r="I29" s="251">
        <f t="shared" si="4"/>
        <v>2971.28</v>
      </c>
      <c r="J29" s="56">
        <v>91.85</v>
      </c>
      <c r="K29" s="43"/>
      <c r="L29" s="43"/>
      <c r="M29" s="43"/>
      <c r="N29" s="24">
        <v>2</v>
      </c>
      <c r="P29" s="24">
        <f t="shared" si="5"/>
        <v>8</v>
      </c>
    </row>
    <row r="30" spans="1:17" s="40" customFormat="1" ht="13.2" customHeight="1" x14ac:dyDescent="0.3">
      <c r="A30" s="11" t="s">
        <v>57</v>
      </c>
      <c r="B30" s="12" t="s">
        <v>133</v>
      </c>
      <c r="C30" s="15" t="s">
        <v>23</v>
      </c>
      <c r="D30" s="12" t="s">
        <v>9</v>
      </c>
      <c r="E30" s="24">
        <f t="shared" si="6"/>
        <v>16</v>
      </c>
      <c r="F30" s="250">
        <v>58.27</v>
      </c>
      <c r="G30" s="38">
        <f t="shared" si="7"/>
        <v>0.29199999999999998</v>
      </c>
      <c r="H30" s="24">
        <f t="shared" si="3"/>
        <v>75.28</v>
      </c>
      <c r="I30" s="251">
        <f t="shared" si="4"/>
        <v>1204.48</v>
      </c>
      <c r="J30" s="56">
        <v>17.52</v>
      </c>
      <c r="K30" s="43"/>
      <c r="L30" s="43"/>
      <c r="M30" s="43"/>
      <c r="N30" s="24">
        <v>4</v>
      </c>
      <c r="P30" s="24">
        <f t="shared" si="5"/>
        <v>16</v>
      </c>
    </row>
    <row r="31" spans="1:17" s="40" customFormat="1" ht="13.8" x14ac:dyDescent="0.3">
      <c r="A31" s="11" t="s">
        <v>58</v>
      </c>
      <c r="B31" s="12" t="s">
        <v>134</v>
      </c>
      <c r="C31" s="15" t="s">
        <v>24</v>
      </c>
      <c r="D31" s="12" t="s">
        <v>9</v>
      </c>
      <c r="E31" s="24">
        <f t="shared" si="6"/>
        <v>40</v>
      </c>
      <c r="F31" s="250">
        <v>30.49</v>
      </c>
      <c r="G31" s="38">
        <f t="shared" si="7"/>
        <v>0.29199999999999998</v>
      </c>
      <c r="H31" s="24">
        <f t="shared" si="3"/>
        <v>39.39</v>
      </c>
      <c r="I31" s="251">
        <f t="shared" si="4"/>
        <v>1575.6</v>
      </c>
      <c r="J31" s="56">
        <v>13.87</v>
      </c>
      <c r="K31" s="43"/>
      <c r="L31" s="43"/>
      <c r="M31" s="43"/>
      <c r="N31" s="24">
        <v>10</v>
      </c>
      <c r="P31" s="24">
        <f t="shared" si="5"/>
        <v>40</v>
      </c>
    </row>
    <row r="32" spans="1:17" s="40" customFormat="1" ht="13.2" customHeight="1" x14ac:dyDescent="0.3">
      <c r="A32" s="11" t="s">
        <v>59</v>
      </c>
      <c r="B32" s="12" t="s">
        <v>135</v>
      </c>
      <c r="C32" s="15" t="s">
        <v>25</v>
      </c>
      <c r="D32" s="12" t="s">
        <v>10</v>
      </c>
      <c r="E32" s="24">
        <f t="shared" si="6"/>
        <v>4</v>
      </c>
      <c r="F32" s="250">
        <v>963.28</v>
      </c>
      <c r="G32" s="38">
        <f t="shared" si="7"/>
        <v>0.29199999999999998</v>
      </c>
      <c r="H32" s="24">
        <f t="shared" si="3"/>
        <v>1244.56</v>
      </c>
      <c r="I32" s="251">
        <f t="shared" si="4"/>
        <v>4978.24</v>
      </c>
      <c r="J32" s="56">
        <v>474</v>
      </c>
      <c r="K32" s="43"/>
      <c r="L32" s="43"/>
      <c r="M32" s="43"/>
      <c r="N32" s="24">
        <v>1</v>
      </c>
      <c r="P32" s="24">
        <f t="shared" si="5"/>
        <v>4</v>
      </c>
    </row>
    <row r="33" spans="1:16" s="40" customFormat="1" ht="13.8" x14ac:dyDescent="0.3">
      <c r="A33" s="11" t="s">
        <v>60</v>
      </c>
      <c r="B33" s="12" t="s">
        <v>136</v>
      </c>
      <c r="C33" s="15" t="s">
        <v>26</v>
      </c>
      <c r="D33" s="12" t="s">
        <v>10</v>
      </c>
      <c r="E33" s="24">
        <f t="shared" si="6"/>
        <v>4</v>
      </c>
      <c r="F33" s="250">
        <v>92.68</v>
      </c>
      <c r="G33" s="38">
        <f t="shared" si="7"/>
        <v>0.29199999999999998</v>
      </c>
      <c r="H33" s="24">
        <f t="shared" si="3"/>
        <v>119.74</v>
      </c>
      <c r="I33" s="251">
        <f t="shared" si="4"/>
        <v>478.96</v>
      </c>
      <c r="J33" s="56">
        <v>39.950000000000003</v>
      </c>
      <c r="K33" s="43"/>
      <c r="L33" s="43"/>
      <c r="M33" s="43"/>
      <c r="N33" s="24">
        <v>1</v>
      </c>
      <c r="P33" s="24">
        <f t="shared" si="5"/>
        <v>4</v>
      </c>
    </row>
    <row r="34" spans="1:16" s="299" customFormat="1" ht="27.6" x14ac:dyDescent="0.3">
      <c r="A34" s="11" t="s">
        <v>61</v>
      </c>
      <c r="B34" s="12" t="s">
        <v>396</v>
      </c>
      <c r="C34" s="15" t="s">
        <v>402</v>
      </c>
      <c r="D34" s="12" t="s">
        <v>9</v>
      </c>
      <c r="E34" s="24">
        <f t="shared" si="6"/>
        <v>120</v>
      </c>
      <c r="F34" s="16">
        <v>90.75</v>
      </c>
      <c r="G34" s="398">
        <v>0.29289999999999999</v>
      </c>
      <c r="H34" s="16">
        <f t="shared" si="3"/>
        <v>117.33</v>
      </c>
      <c r="I34" s="34">
        <f t="shared" si="4"/>
        <v>14079.6</v>
      </c>
      <c r="J34" s="399">
        <v>25.34</v>
      </c>
      <c r="K34" s="402"/>
      <c r="L34" s="403"/>
      <c r="M34" s="403"/>
      <c r="N34" s="24">
        <v>30</v>
      </c>
      <c r="O34" s="40"/>
      <c r="P34" s="24">
        <f t="shared" ref="P34:P35" si="8">N34*$P$2</f>
        <v>120</v>
      </c>
    </row>
    <row r="35" spans="1:16" s="299" customFormat="1" ht="13.8" x14ac:dyDescent="0.3">
      <c r="A35" s="11" t="s">
        <v>62</v>
      </c>
      <c r="B35" s="12" t="s">
        <v>403</v>
      </c>
      <c r="C35" s="15" t="str">
        <f>'[1]COTAÇÕES DE PREÇOS'!C70</f>
        <v>TUBO AÇO PRETO DE 6" - PAREDE 3.35MM (TUBO DE REVESTIMENTO)</v>
      </c>
      <c r="D35" s="12" t="s">
        <v>27</v>
      </c>
      <c r="E35" s="24">
        <f t="shared" si="6"/>
        <v>120</v>
      </c>
      <c r="F35" s="36">
        <f>'COTAÇÕES DE PREÇOS'!I71</f>
        <v>326.66666666666669</v>
      </c>
      <c r="G35" s="398">
        <v>0.2054</v>
      </c>
      <c r="H35" s="16">
        <f t="shared" si="3"/>
        <v>393.76</v>
      </c>
      <c r="I35" s="34">
        <f t="shared" si="4"/>
        <v>47251.199999999997</v>
      </c>
      <c r="J35" s="399" t="s">
        <v>109</v>
      </c>
      <c r="K35" s="402"/>
      <c r="L35" s="403"/>
      <c r="M35" s="403"/>
      <c r="N35" s="24">
        <v>30</v>
      </c>
      <c r="O35" s="40"/>
      <c r="P35" s="24">
        <f t="shared" si="8"/>
        <v>120</v>
      </c>
    </row>
    <row r="36" spans="1:16" s="40" customFormat="1" ht="13.8" x14ac:dyDescent="0.3">
      <c r="A36" s="11" t="s">
        <v>63</v>
      </c>
      <c r="B36" s="12" t="s">
        <v>137</v>
      </c>
      <c r="C36" s="15" t="s">
        <v>28</v>
      </c>
      <c r="D36" s="12" t="s">
        <v>10</v>
      </c>
      <c r="E36" s="24">
        <f t="shared" si="6"/>
        <v>4</v>
      </c>
      <c r="F36" s="250">
        <v>47.47</v>
      </c>
      <c r="G36" s="38">
        <f t="shared" si="7"/>
        <v>0.29199999999999998</v>
      </c>
      <c r="H36" s="24">
        <f t="shared" si="3"/>
        <v>61.33</v>
      </c>
      <c r="I36" s="251">
        <f t="shared" si="4"/>
        <v>245.32</v>
      </c>
      <c r="J36" s="56">
        <v>22.56</v>
      </c>
      <c r="K36" s="43"/>
      <c r="L36" s="43"/>
      <c r="M36" s="43"/>
      <c r="N36" s="24">
        <v>1</v>
      </c>
      <c r="P36" s="24">
        <f t="shared" si="5"/>
        <v>4</v>
      </c>
    </row>
    <row r="37" spans="1:16" s="40" customFormat="1" ht="13.8" x14ac:dyDescent="0.3">
      <c r="A37" s="11" t="s">
        <v>404</v>
      </c>
      <c r="B37" s="12" t="s">
        <v>138</v>
      </c>
      <c r="C37" s="15" t="s">
        <v>29</v>
      </c>
      <c r="D37" s="12" t="s">
        <v>10</v>
      </c>
      <c r="E37" s="24">
        <f t="shared" si="6"/>
        <v>4</v>
      </c>
      <c r="F37" s="250">
        <v>371.18</v>
      </c>
      <c r="G37" s="38">
        <f t="shared" si="7"/>
        <v>0.29199999999999998</v>
      </c>
      <c r="H37" s="24">
        <f t="shared" si="3"/>
        <v>479.56</v>
      </c>
      <c r="I37" s="251">
        <f t="shared" si="4"/>
        <v>1918.24</v>
      </c>
      <c r="J37" s="56">
        <v>272.14999999999998</v>
      </c>
      <c r="K37" s="43"/>
      <c r="L37" s="43"/>
      <c r="M37" s="43"/>
      <c r="N37" s="24">
        <v>1</v>
      </c>
      <c r="P37" s="24">
        <f t="shared" si="5"/>
        <v>4</v>
      </c>
    </row>
    <row r="38" spans="1:16" s="40" customFormat="1" thickBot="1" x14ac:dyDescent="0.35">
      <c r="A38" s="11" t="s">
        <v>405</v>
      </c>
      <c r="B38" s="17" t="s">
        <v>139</v>
      </c>
      <c r="C38" s="25" t="s">
        <v>30</v>
      </c>
      <c r="D38" s="17" t="s">
        <v>10</v>
      </c>
      <c r="E38" s="24">
        <f t="shared" si="6"/>
        <v>4</v>
      </c>
      <c r="F38" s="252">
        <v>120.28</v>
      </c>
      <c r="G38" s="38">
        <f t="shared" si="7"/>
        <v>0.29199999999999998</v>
      </c>
      <c r="H38" s="24">
        <f t="shared" si="3"/>
        <v>155.4</v>
      </c>
      <c r="I38" s="251">
        <f t="shared" si="4"/>
        <v>621.6</v>
      </c>
      <c r="J38" s="56">
        <v>81.459999999999994</v>
      </c>
      <c r="K38" s="43"/>
      <c r="L38" s="43"/>
      <c r="M38" s="43"/>
      <c r="N38" s="24">
        <v>1</v>
      </c>
      <c r="P38" s="24">
        <f t="shared" si="5"/>
        <v>4</v>
      </c>
    </row>
    <row r="39" spans="1:16" s="40" customFormat="1" thickBot="1" x14ac:dyDescent="0.35">
      <c r="A39" s="425" t="s">
        <v>115</v>
      </c>
      <c r="B39" s="426"/>
      <c r="C39" s="426"/>
      <c r="D39" s="426"/>
      <c r="E39" s="426"/>
      <c r="F39" s="426"/>
      <c r="G39" s="426"/>
      <c r="H39" s="449"/>
      <c r="I39" s="37">
        <f>SUM(I20:I38)</f>
        <v>201236.68000000002</v>
      </c>
      <c r="J39" s="56"/>
      <c r="K39" s="43"/>
      <c r="L39" s="43"/>
      <c r="M39" s="43"/>
      <c r="P39" s="249"/>
    </row>
    <row r="40" spans="1:16" s="40" customFormat="1" ht="13.8" x14ac:dyDescent="0.3">
      <c r="A40" s="21" t="s">
        <v>64</v>
      </c>
      <c r="B40" s="439"/>
      <c r="C40" s="22" t="s">
        <v>406</v>
      </c>
      <c r="D40" s="440"/>
      <c r="E40" s="441"/>
      <c r="F40" s="441"/>
      <c r="G40" s="441"/>
      <c r="H40" s="441"/>
      <c r="I40" s="442"/>
      <c r="J40" s="56"/>
      <c r="K40" s="43"/>
      <c r="L40" s="43"/>
      <c r="M40" s="43"/>
      <c r="P40" s="249"/>
    </row>
    <row r="41" spans="1:16" s="40" customFormat="1" ht="13.8" x14ac:dyDescent="0.3">
      <c r="A41" s="9" t="s">
        <v>65</v>
      </c>
      <c r="B41" s="432"/>
      <c r="C41" s="10" t="s">
        <v>2</v>
      </c>
      <c r="D41" s="436"/>
      <c r="E41" s="437"/>
      <c r="F41" s="437"/>
      <c r="G41" s="437"/>
      <c r="H41" s="437"/>
      <c r="I41" s="438"/>
      <c r="J41" s="56"/>
      <c r="K41" s="43"/>
      <c r="L41" s="43"/>
      <c r="M41" s="43"/>
      <c r="P41" s="249"/>
    </row>
    <row r="42" spans="1:16" s="40" customFormat="1" ht="13.8" x14ac:dyDescent="0.3">
      <c r="A42" s="11" t="s">
        <v>66</v>
      </c>
      <c r="B42" s="23" t="s">
        <v>141</v>
      </c>
      <c r="C42" s="15" t="s">
        <v>31</v>
      </c>
      <c r="D42" s="12" t="s">
        <v>8</v>
      </c>
      <c r="E42" s="24">
        <f t="shared" ref="E42:E52" si="9">P42</f>
        <v>100</v>
      </c>
      <c r="F42" s="100">
        <v>5.75</v>
      </c>
      <c r="G42" s="38">
        <f t="shared" ref="G42:G52" si="10">$I$7</f>
        <v>0.29199999999999998</v>
      </c>
      <c r="H42" s="16">
        <f t="shared" ref="H42:H52" si="11">ROUND(F42*G42+F42,2)</f>
        <v>7.43</v>
      </c>
      <c r="I42" s="34">
        <f t="shared" ref="I42:I52" si="12">ROUND(E42*H42,2)</f>
        <v>743</v>
      </c>
      <c r="J42" s="56">
        <v>2.7</v>
      </c>
      <c r="K42" s="43"/>
      <c r="L42" s="43"/>
      <c r="M42" s="43"/>
      <c r="N42" s="24">
        <v>25</v>
      </c>
      <c r="P42" s="24">
        <f t="shared" ref="P42:P52" si="13">N42*$P$2</f>
        <v>100</v>
      </c>
    </row>
    <row r="43" spans="1:16" s="40" customFormat="1" ht="13.8" x14ac:dyDescent="0.3">
      <c r="A43" s="11" t="s">
        <v>67</v>
      </c>
      <c r="B43" s="23" t="s">
        <v>145</v>
      </c>
      <c r="C43" s="15" t="s">
        <v>32</v>
      </c>
      <c r="D43" s="12" t="s">
        <v>10</v>
      </c>
      <c r="E43" s="24">
        <f t="shared" si="9"/>
        <v>4</v>
      </c>
      <c r="F43" s="100">
        <v>159.63</v>
      </c>
      <c r="G43" s="38">
        <f t="shared" si="10"/>
        <v>0.29199999999999998</v>
      </c>
      <c r="H43" s="16">
        <f t="shared" si="11"/>
        <v>206.24</v>
      </c>
      <c r="I43" s="34">
        <f t="shared" si="12"/>
        <v>824.96</v>
      </c>
      <c r="J43" s="56">
        <v>59.27</v>
      </c>
      <c r="K43" s="43"/>
      <c r="L43" s="43"/>
      <c r="M43" s="43"/>
      <c r="N43" s="24">
        <v>1</v>
      </c>
      <c r="P43" s="24">
        <f t="shared" si="13"/>
        <v>4</v>
      </c>
    </row>
    <row r="44" spans="1:16" s="57" customFormat="1" ht="27.6" x14ac:dyDescent="0.3">
      <c r="A44" s="11" t="s">
        <v>68</v>
      </c>
      <c r="B44" s="12" t="s">
        <v>146</v>
      </c>
      <c r="C44" s="15" t="s">
        <v>370</v>
      </c>
      <c r="D44" s="12" t="s">
        <v>10</v>
      </c>
      <c r="E44" s="24">
        <f t="shared" si="9"/>
        <v>4</v>
      </c>
      <c r="F44" s="110">
        <v>534.80999999999995</v>
      </c>
      <c r="G44" s="38">
        <f t="shared" si="10"/>
        <v>0.29199999999999998</v>
      </c>
      <c r="H44" s="16">
        <f t="shared" si="11"/>
        <v>690.97</v>
      </c>
      <c r="I44" s="34">
        <f t="shared" si="12"/>
        <v>2763.88</v>
      </c>
      <c r="J44" s="56">
        <v>255.86</v>
      </c>
      <c r="K44" s="242"/>
      <c r="L44" s="242"/>
      <c r="M44" s="242"/>
      <c r="N44" s="24">
        <v>1</v>
      </c>
      <c r="P44" s="24">
        <f t="shared" si="13"/>
        <v>4</v>
      </c>
    </row>
    <row r="45" spans="1:16" s="299" customFormat="1" ht="13.8" x14ac:dyDescent="0.3">
      <c r="A45" s="33" t="s">
        <v>69</v>
      </c>
      <c r="B45" s="12" t="s">
        <v>407</v>
      </c>
      <c r="C45" s="15" t="str">
        <f>'[1]COTAÇÕES DE PREÇOS'!C63</f>
        <v>TUBO GALVANIZADO 1 1/2" - PAREDE 3.35MM GALVANIZADO A FOGO (TUBO EDUTOR)</v>
      </c>
      <c r="D45" s="12" t="s">
        <v>27</v>
      </c>
      <c r="E45" s="24">
        <f t="shared" si="9"/>
        <v>300</v>
      </c>
      <c r="F45" s="108">
        <f>'COTAÇÕES DE PREÇOS'!I64</f>
        <v>131.66666666666666</v>
      </c>
      <c r="G45" s="38">
        <v>0.2054</v>
      </c>
      <c r="H45" s="16">
        <f t="shared" si="11"/>
        <v>158.71</v>
      </c>
      <c r="I45" s="34">
        <f t="shared" si="12"/>
        <v>47613</v>
      </c>
      <c r="J45" s="404">
        <v>19.7</v>
      </c>
      <c r="N45" s="24">
        <f>L23</f>
        <v>75</v>
      </c>
      <c r="P45" s="24">
        <f t="shared" si="13"/>
        <v>300</v>
      </c>
    </row>
    <row r="46" spans="1:16" s="40" customFormat="1" ht="13.8" x14ac:dyDescent="0.3">
      <c r="A46" s="11" t="s">
        <v>70</v>
      </c>
      <c r="B46" s="12" t="s">
        <v>147</v>
      </c>
      <c r="C46" s="15" t="s">
        <v>33</v>
      </c>
      <c r="D46" s="12" t="s">
        <v>10</v>
      </c>
      <c r="E46" s="24">
        <f t="shared" si="9"/>
        <v>4</v>
      </c>
      <c r="F46" s="99">
        <v>1720.24</v>
      </c>
      <c r="G46" s="38">
        <f t="shared" si="10"/>
        <v>0.29199999999999998</v>
      </c>
      <c r="H46" s="16">
        <f t="shared" si="11"/>
        <v>2222.5500000000002</v>
      </c>
      <c r="I46" s="34">
        <f t="shared" si="12"/>
        <v>8890.2000000000007</v>
      </c>
      <c r="J46" s="56">
        <v>663.43</v>
      </c>
      <c r="K46" s="43"/>
      <c r="L46" s="43"/>
      <c r="M46" s="43"/>
      <c r="N46" s="24">
        <v>1</v>
      </c>
      <c r="P46" s="24">
        <f t="shared" si="13"/>
        <v>4</v>
      </c>
    </row>
    <row r="47" spans="1:16" s="42" customFormat="1" ht="27.6" x14ac:dyDescent="0.3">
      <c r="A47" s="11" t="s">
        <v>71</v>
      </c>
      <c r="B47" s="12" t="s">
        <v>371</v>
      </c>
      <c r="C47" s="15" t="s">
        <v>374</v>
      </c>
      <c r="D47" s="12" t="s">
        <v>27</v>
      </c>
      <c r="E47" s="24">
        <f t="shared" si="9"/>
        <v>300</v>
      </c>
      <c r="F47" s="16">
        <v>11.85</v>
      </c>
      <c r="G47" s="38">
        <f t="shared" si="10"/>
        <v>0.29199999999999998</v>
      </c>
      <c r="H47" s="16">
        <f t="shared" si="11"/>
        <v>15.31</v>
      </c>
      <c r="I47" s="34">
        <f t="shared" si="12"/>
        <v>4593</v>
      </c>
      <c r="J47" s="254">
        <v>2.13</v>
      </c>
      <c r="K47" s="46"/>
      <c r="L47" s="46"/>
      <c r="M47" s="46"/>
      <c r="N47" s="24">
        <f>L23</f>
        <v>75</v>
      </c>
      <c r="P47" s="24">
        <f t="shared" si="13"/>
        <v>300</v>
      </c>
    </row>
    <row r="48" spans="1:16" s="42" customFormat="1" ht="13.8" x14ac:dyDescent="0.3">
      <c r="A48" s="11" t="s">
        <v>72</v>
      </c>
      <c r="B48" s="12" t="s">
        <v>368</v>
      </c>
      <c r="C48" s="15" t="s">
        <v>369</v>
      </c>
      <c r="D48" s="12" t="s">
        <v>34</v>
      </c>
      <c r="E48" s="24">
        <f t="shared" si="9"/>
        <v>68</v>
      </c>
      <c r="F48" s="16">
        <v>45.72</v>
      </c>
      <c r="G48" s="38">
        <f>$I$8</f>
        <v>0.2054</v>
      </c>
      <c r="H48" s="16">
        <f t="shared" si="11"/>
        <v>55.11</v>
      </c>
      <c r="I48" s="34">
        <f t="shared" si="12"/>
        <v>3747.48</v>
      </c>
      <c r="J48" s="254">
        <v>4.3499999999999996</v>
      </c>
      <c r="K48" s="46"/>
      <c r="L48" s="46"/>
      <c r="M48" s="46"/>
      <c r="N48" s="24">
        <v>17</v>
      </c>
      <c r="P48" s="24">
        <f t="shared" si="13"/>
        <v>68</v>
      </c>
    </row>
    <row r="49" spans="1:16" s="257" customFormat="1" ht="13.8" x14ac:dyDescent="0.3">
      <c r="A49" s="11" t="s">
        <v>73</v>
      </c>
      <c r="B49" s="12" t="s">
        <v>148</v>
      </c>
      <c r="C49" s="15" t="s">
        <v>372</v>
      </c>
      <c r="D49" s="12" t="s">
        <v>10</v>
      </c>
      <c r="E49" s="24">
        <f t="shared" si="9"/>
        <v>4</v>
      </c>
      <c r="F49" s="99">
        <v>1981.89</v>
      </c>
      <c r="G49" s="38">
        <f t="shared" si="10"/>
        <v>0.29199999999999998</v>
      </c>
      <c r="H49" s="16">
        <f t="shared" si="11"/>
        <v>2560.6</v>
      </c>
      <c r="I49" s="34">
        <f t="shared" si="12"/>
        <v>10242.4</v>
      </c>
      <c r="J49" s="56">
        <v>982.91</v>
      </c>
      <c r="K49" s="256"/>
      <c r="L49" s="256"/>
      <c r="M49" s="256"/>
      <c r="N49" s="24">
        <f>1</f>
        <v>1</v>
      </c>
      <c r="P49" s="24">
        <f t="shared" si="13"/>
        <v>4</v>
      </c>
    </row>
    <row r="50" spans="1:16" s="42" customFormat="1" ht="27.6" x14ac:dyDescent="0.3">
      <c r="A50" s="11" t="s">
        <v>74</v>
      </c>
      <c r="B50" s="12" t="s">
        <v>358</v>
      </c>
      <c r="C50" s="15" t="s">
        <v>355</v>
      </c>
      <c r="D50" s="12" t="s">
        <v>3</v>
      </c>
      <c r="E50" s="24">
        <f t="shared" si="9"/>
        <v>4</v>
      </c>
      <c r="F50" s="36">
        <f>'COMPOSIÇÕES DE CUSTOS'!I35</f>
        <v>5688.3449999999993</v>
      </c>
      <c r="G50" s="38">
        <f t="shared" si="10"/>
        <v>0.29199999999999998</v>
      </c>
      <c r="H50" s="16">
        <f t="shared" si="11"/>
        <v>7349.34</v>
      </c>
      <c r="I50" s="34">
        <f t="shared" si="12"/>
        <v>29397.360000000001</v>
      </c>
      <c r="J50" s="254" t="s">
        <v>109</v>
      </c>
      <c r="K50" s="46"/>
      <c r="L50" s="46"/>
      <c r="M50" s="46"/>
      <c r="N50" s="24">
        <f>1</f>
        <v>1</v>
      </c>
      <c r="P50" s="24">
        <f t="shared" si="13"/>
        <v>4</v>
      </c>
    </row>
    <row r="51" spans="1:16" s="42" customFormat="1" ht="41.4" x14ac:dyDescent="0.3">
      <c r="A51" s="11" t="s">
        <v>75</v>
      </c>
      <c r="B51" s="12" t="s">
        <v>351</v>
      </c>
      <c r="C51" s="25" t="s">
        <v>354</v>
      </c>
      <c r="D51" s="12" t="s">
        <v>27</v>
      </c>
      <c r="E51" s="24">
        <f>'PLANILHA DE LEVANTAMENTO'!J32</f>
        <v>900</v>
      </c>
      <c r="F51" s="111">
        <v>9.56</v>
      </c>
      <c r="G51" s="38">
        <f t="shared" si="10"/>
        <v>0.29199999999999998</v>
      </c>
      <c r="H51" s="16">
        <f t="shared" ref="H51" si="14">ROUND(F51*G51+F51,2)</f>
        <v>12.35</v>
      </c>
      <c r="I51" s="34">
        <f t="shared" ref="I51" si="15">ROUND(E51*H51,2)</f>
        <v>11115</v>
      </c>
      <c r="J51" s="254" t="s">
        <v>109</v>
      </c>
    </row>
    <row r="52" spans="1:16" s="42" customFormat="1" ht="28.2" thickBot="1" x14ac:dyDescent="0.35">
      <c r="A52" s="11" t="s">
        <v>76</v>
      </c>
      <c r="B52" s="12" t="s">
        <v>362</v>
      </c>
      <c r="C52" s="25" t="s">
        <v>365</v>
      </c>
      <c r="D52" s="17" t="s">
        <v>3</v>
      </c>
      <c r="E52" s="24">
        <f t="shared" si="9"/>
        <v>4</v>
      </c>
      <c r="F52" s="111">
        <f>'COMPOSIÇÕES DE CUSTOS'!I42</f>
        <v>1183.72</v>
      </c>
      <c r="G52" s="38">
        <f t="shared" si="10"/>
        <v>0.29199999999999998</v>
      </c>
      <c r="H52" s="16">
        <f t="shared" si="11"/>
        <v>1529.37</v>
      </c>
      <c r="I52" s="34">
        <f t="shared" si="12"/>
        <v>6117.48</v>
      </c>
      <c r="J52" s="254" t="s">
        <v>109</v>
      </c>
      <c r="K52" s="46"/>
      <c r="L52" s="46"/>
      <c r="M52" s="46"/>
      <c r="N52" s="24">
        <f>1</f>
        <v>1</v>
      </c>
      <c r="P52" s="24">
        <f t="shared" si="13"/>
        <v>4</v>
      </c>
    </row>
    <row r="53" spans="1:16" s="40" customFormat="1" thickBot="1" x14ac:dyDescent="0.35">
      <c r="A53" s="27"/>
      <c r="B53" s="28"/>
      <c r="C53" s="443" t="s">
        <v>117</v>
      </c>
      <c r="D53" s="443"/>
      <c r="E53" s="443"/>
      <c r="F53" s="443"/>
      <c r="G53" s="443"/>
      <c r="H53" s="443"/>
      <c r="I53" s="20">
        <f>SUM(I42:I52)</f>
        <v>126047.75999999998</v>
      </c>
      <c r="J53" s="56"/>
      <c r="K53" s="43"/>
      <c r="L53" s="43"/>
      <c r="M53" s="43"/>
      <c r="N53" s="41"/>
    </row>
    <row r="54" spans="1:16" s="40" customFormat="1" ht="13.8" x14ac:dyDescent="0.3">
      <c r="A54" s="21" t="s">
        <v>77</v>
      </c>
      <c r="B54" s="439"/>
      <c r="C54" s="22" t="s">
        <v>4</v>
      </c>
      <c r="D54" s="440"/>
      <c r="E54" s="441"/>
      <c r="F54" s="441"/>
      <c r="G54" s="441"/>
      <c r="H54" s="441"/>
      <c r="I54" s="442"/>
      <c r="J54" s="56"/>
    </row>
    <row r="55" spans="1:16" s="40" customFormat="1" ht="13.8" x14ac:dyDescent="0.3">
      <c r="A55" s="9" t="s">
        <v>78</v>
      </c>
      <c r="B55" s="432"/>
      <c r="C55" s="10" t="s">
        <v>2</v>
      </c>
      <c r="D55" s="436"/>
      <c r="E55" s="437"/>
      <c r="F55" s="437"/>
      <c r="G55" s="437"/>
      <c r="H55" s="437"/>
      <c r="I55" s="438"/>
      <c r="J55" s="56"/>
      <c r="K55" s="43"/>
      <c r="L55" s="43"/>
      <c r="M55" s="43"/>
      <c r="O55" s="48"/>
    </row>
    <row r="56" spans="1:16" s="42" customFormat="1" ht="13.8" x14ac:dyDescent="0.3">
      <c r="A56" s="33" t="s">
        <v>79</v>
      </c>
      <c r="B56" s="12" t="s">
        <v>144</v>
      </c>
      <c r="C56" s="15" t="s">
        <v>35</v>
      </c>
      <c r="D56" s="12" t="s">
        <v>13</v>
      </c>
      <c r="E56" s="24">
        <f>E62/1000</f>
        <v>1.05474</v>
      </c>
      <c r="F56" s="108">
        <v>1442.2</v>
      </c>
      <c r="G56" s="38">
        <f t="shared" ref="G56:G64" si="16">$I$7</f>
        <v>0.29199999999999998</v>
      </c>
      <c r="H56" s="16">
        <f t="shared" ref="H56:H63" si="17">ROUND(F56*G56+F56,2)</f>
        <v>1863.32</v>
      </c>
      <c r="I56" s="34">
        <f t="shared" ref="I56:I63" si="18">ROUND(E56*H56,2)</f>
        <v>1965.32</v>
      </c>
      <c r="J56" s="254">
        <v>679.74</v>
      </c>
      <c r="K56" s="46"/>
      <c r="L56" s="46"/>
      <c r="M56" s="46"/>
      <c r="O56" s="109"/>
    </row>
    <row r="57" spans="1:16" s="40" customFormat="1" ht="13.8" x14ac:dyDescent="0.3">
      <c r="A57" s="33" t="s">
        <v>80</v>
      </c>
      <c r="B57" s="23" t="s">
        <v>141</v>
      </c>
      <c r="C57" s="15" t="s">
        <v>31</v>
      </c>
      <c r="D57" s="12" t="s">
        <v>8</v>
      </c>
      <c r="E57" s="24">
        <f>E62*0.4</f>
        <v>421.89600000000002</v>
      </c>
      <c r="F57" s="100">
        <v>5.75</v>
      </c>
      <c r="G57" s="38">
        <f t="shared" si="16"/>
        <v>0.29199999999999998</v>
      </c>
      <c r="H57" s="16">
        <f t="shared" si="17"/>
        <v>7.43</v>
      </c>
      <c r="I57" s="34">
        <f t="shared" si="18"/>
        <v>3134.69</v>
      </c>
      <c r="J57" s="56">
        <v>2.7</v>
      </c>
      <c r="K57" s="43"/>
      <c r="L57" s="43"/>
      <c r="M57" s="43"/>
      <c r="O57" s="48"/>
    </row>
    <row r="58" spans="1:16" s="50" customFormat="1" ht="13.8" x14ac:dyDescent="0.3">
      <c r="A58" s="33" t="s">
        <v>81</v>
      </c>
      <c r="B58" s="23" t="s">
        <v>149</v>
      </c>
      <c r="C58" s="15" t="s">
        <v>36</v>
      </c>
      <c r="D58" s="12" t="s">
        <v>11</v>
      </c>
      <c r="E58" s="24">
        <f>E62*0.4*0.6</f>
        <v>253.13759999999999</v>
      </c>
      <c r="F58" s="100">
        <v>12.67</v>
      </c>
      <c r="G58" s="38">
        <f t="shared" si="16"/>
        <v>0.29199999999999998</v>
      </c>
      <c r="H58" s="16">
        <f t="shared" si="17"/>
        <v>16.37</v>
      </c>
      <c r="I58" s="34">
        <f t="shared" si="18"/>
        <v>4143.8599999999997</v>
      </c>
      <c r="J58" s="258">
        <v>5.76</v>
      </c>
      <c r="K58" s="49"/>
      <c r="L58" s="49"/>
      <c r="M58" s="49"/>
      <c r="O58" s="51"/>
    </row>
    <row r="59" spans="1:16" s="50" customFormat="1" ht="13.8" x14ac:dyDescent="0.3">
      <c r="A59" s="33" t="s">
        <v>82</v>
      </c>
      <c r="B59" s="23" t="s">
        <v>156</v>
      </c>
      <c r="C59" s="15" t="s">
        <v>199</v>
      </c>
      <c r="D59" s="12" t="s">
        <v>8</v>
      </c>
      <c r="E59" s="24">
        <f>E62*0.4</f>
        <v>421.89600000000002</v>
      </c>
      <c r="F59" s="100">
        <v>7.19</v>
      </c>
      <c r="G59" s="38">
        <f t="shared" si="16"/>
        <v>0.29199999999999998</v>
      </c>
      <c r="H59" s="16">
        <f t="shared" si="17"/>
        <v>9.2899999999999991</v>
      </c>
      <c r="I59" s="34">
        <f t="shared" si="18"/>
        <v>3919.41</v>
      </c>
      <c r="J59" s="258"/>
      <c r="K59" s="49"/>
      <c r="L59" s="49"/>
      <c r="M59" s="49"/>
      <c r="O59" s="51"/>
    </row>
    <row r="60" spans="1:16" s="55" customFormat="1" ht="13.8" x14ac:dyDescent="0.3">
      <c r="A60" s="33" t="s">
        <v>83</v>
      </c>
      <c r="B60" s="23" t="s">
        <v>140</v>
      </c>
      <c r="C60" s="15" t="s">
        <v>37</v>
      </c>
      <c r="D60" s="12" t="s">
        <v>11</v>
      </c>
      <c r="E60" s="24">
        <f>E58</f>
        <v>253.13759999999999</v>
      </c>
      <c r="F60" s="100">
        <v>21.25</v>
      </c>
      <c r="G60" s="38">
        <f t="shared" si="16"/>
        <v>0.29199999999999998</v>
      </c>
      <c r="H60" s="16">
        <f t="shared" si="17"/>
        <v>27.46</v>
      </c>
      <c r="I60" s="34">
        <f t="shared" si="18"/>
        <v>6951.16</v>
      </c>
      <c r="J60" s="56">
        <v>10.15</v>
      </c>
      <c r="K60" s="52"/>
      <c r="L60" s="52"/>
      <c r="M60" s="52"/>
      <c r="N60" s="53"/>
      <c r="O60" s="54"/>
    </row>
    <row r="61" spans="1:16" s="50" customFormat="1" ht="13.8" x14ac:dyDescent="0.3">
      <c r="A61" s="33" t="s">
        <v>84</v>
      </c>
      <c r="B61" s="23" t="s">
        <v>142</v>
      </c>
      <c r="C61" s="15" t="s">
        <v>38</v>
      </c>
      <c r="D61" s="12" t="s">
        <v>9</v>
      </c>
      <c r="E61" s="24">
        <f>E62</f>
        <v>1054.74</v>
      </c>
      <c r="F61" s="100">
        <v>1.99</v>
      </c>
      <c r="G61" s="38">
        <f t="shared" si="16"/>
        <v>0.29199999999999998</v>
      </c>
      <c r="H61" s="16">
        <f t="shared" si="17"/>
        <v>2.57</v>
      </c>
      <c r="I61" s="34">
        <f t="shared" si="18"/>
        <v>2710.68</v>
      </c>
      <c r="J61" s="258">
        <v>0.98</v>
      </c>
    </row>
    <row r="62" spans="1:16" s="42" customFormat="1" ht="13.8" customHeight="1" x14ac:dyDescent="0.3">
      <c r="A62" s="33" t="s">
        <v>85</v>
      </c>
      <c r="B62" s="17" t="s">
        <v>415</v>
      </c>
      <c r="C62" s="25" t="s">
        <v>202</v>
      </c>
      <c r="D62" s="12" t="s">
        <v>27</v>
      </c>
      <c r="E62" s="24">
        <f>'PLANILHA DE LEVANTAMENTO'!D32</f>
        <v>1054.74</v>
      </c>
      <c r="F62" s="16">
        <v>13.49</v>
      </c>
      <c r="G62" s="38">
        <f>$I$8</f>
        <v>0.2054</v>
      </c>
      <c r="H62" s="16">
        <f t="shared" si="17"/>
        <v>16.260000000000002</v>
      </c>
      <c r="I62" s="34">
        <f t="shared" si="18"/>
        <v>17150.07</v>
      </c>
      <c r="J62" s="254">
        <v>3.6</v>
      </c>
      <c r="N62" s="50"/>
      <c r="O62" s="50"/>
      <c r="P62" s="50"/>
    </row>
    <row r="63" spans="1:16" s="42" customFormat="1" ht="41.4" x14ac:dyDescent="0.3">
      <c r="A63" s="33" t="s">
        <v>107</v>
      </c>
      <c r="B63" s="12" t="s">
        <v>356</v>
      </c>
      <c r="C63" s="25" t="s">
        <v>345</v>
      </c>
      <c r="D63" s="17" t="s">
        <v>27</v>
      </c>
      <c r="E63" s="26">
        <f>'PLANILHA DE LEVANTAMENTO'!K32</f>
        <v>1054.74</v>
      </c>
      <c r="F63" s="111">
        <f>'COMPOSIÇÕES DE CUSTOS'!I19</f>
        <v>8.7944235000000006</v>
      </c>
      <c r="G63" s="38">
        <f t="shared" si="16"/>
        <v>0.29199999999999998</v>
      </c>
      <c r="H63" s="19">
        <f t="shared" si="17"/>
        <v>11.36</v>
      </c>
      <c r="I63" s="266">
        <f t="shared" si="18"/>
        <v>11981.85</v>
      </c>
      <c r="J63" s="254" t="s">
        <v>109</v>
      </c>
      <c r="K63" s="46"/>
      <c r="L63" s="46"/>
      <c r="M63" s="46"/>
      <c r="O63" s="368"/>
      <c r="P63" s="368"/>
    </row>
    <row r="64" spans="1:16" s="42" customFormat="1" thickBot="1" x14ac:dyDescent="0.35">
      <c r="A64" s="33" t="s">
        <v>155</v>
      </c>
      <c r="B64" s="12" t="s">
        <v>357</v>
      </c>
      <c r="C64" s="272" t="s">
        <v>347</v>
      </c>
      <c r="D64" s="112" t="s">
        <v>3</v>
      </c>
      <c r="E64" s="273">
        <f>P64</f>
        <v>4</v>
      </c>
      <c r="F64" s="111">
        <f>'COMPOSIÇÕES DE CUSTOS'!I28</f>
        <v>67.625730000000004</v>
      </c>
      <c r="G64" s="38">
        <f t="shared" si="16"/>
        <v>0.29199999999999998</v>
      </c>
      <c r="H64" s="19">
        <f t="shared" ref="H64" si="19">ROUND(F64*G64+F64,2)</f>
        <v>87.37</v>
      </c>
      <c r="I64" s="266">
        <f t="shared" ref="I64" si="20">ROUND(E64*H64,2)</f>
        <v>349.48</v>
      </c>
      <c r="J64" s="254"/>
      <c r="K64" s="46"/>
      <c r="L64" s="46"/>
      <c r="M64" s="46"/>
      <c r="N64" s="24">
        <f>1</f>
        <v>1</v>
      </c>
      <c r="P64" s="24">
        <f t="shared" ref="P64" si="21">N64*$P$2</f>
        <v>4</v>
      </c>
    </row>
    <row r="65" spans="1:16" s="40" customFormat="1" thickBot="1" x14ac:dyDescent="0.35">
      <c r="A65" s="27"/>
      <c r="B65" s="28"/>
      <c r="C65" s="443" t="s">
        <v>118</v>
      </c>
      <c r="D65" s="443"/>
      <c r="E65" s="443"/>
      <c r="F65" s="443"/>
      <c r="G65" s="443"/>
      <c r="H65" s="443"/>
      <c r="I65" s="20">
        <f>SUM(I56:I64)</f>
        <v>52306.520000000004</v>
      </c>
      <c r="J65" s="56"/>
      <c r="K65" s="43"/>
      <c r="L65" s="43"/>
      <c r="M65" s="43"/>
      <c r="N65" s="41"/>
    </row>
    <row r="66" spans="1:16" s="40" customFormat="1" ht="13.8" x14ac:dyDescent="0.3">
      <c r="A66" s="21" t="s">
        <v>86</v>
      </c>
      <c r="B66" s="439"/>
      <c r="C66" s="22" t="s">
        <v>5</v>
      </c>
      <c r="D66" s="440"/>
      <c r="E66" s="441"/>
      <c r="F66" s="441"/>
      <c r="G66" s="441"/>
      <c r="H66" s="441"/>
      <c r="I66" s="442"/>
      <c r="J66" s="56"/>
      <c r="K66" s="43"/>
      <c r="L66" s="43"/>
      <c r="M66" s="43"/>
    </row>
    <row r="67" spans="1:16" s="40" customFormat="1" ht="13.8" x14ac:dyDescent="0.3">
      <c r="A67" s="9" t="s">
        <v>87</v>
      </c>
      <c r="B67" s="432"/>
      <c r="C67" s="10" t="s">
        <v>2</v>
      </c>
      <c r="D67" s="436"/>
      <c r="E67" s="437"/>
      <c r="F67" s="437"/>
      <c r="G67" s="437"/>
      <c r="H67" s="437"/>
      <c r="I67" s="438"/>
      <c r="J67" s="56"/>
      <c r="K67" s="43"/>
      <c r="L67" s="43"/>
      <c r="M67" s="43"/>
    </row>
    <row r="68" spans="1:16" s="260" customFormat="1" ht="28.2" thickBot="1" x14ac:dyDescent="0.35">
      <c r="A68" s="383" t="s">
        <v>88</v>
      </c>
      <c r="B68" s="12" t="s">
        <v>390</v>
      </c>
      <c r="C68" s="25" t="s">
        <v>380</v>
      </c>
      <c r="D68" s="112" t="s">
        <v>3</v>
      </c>
      <c r="E68" s="26">
        <f>P68</f>
        <v>4</v>
      </c>
      <c r="F68" s="111">
        <f>'COMPOSIÇÕES DE CUSTOS'!I49</f>
        <v>465.48</v>
      </c>
      <c r="G68" s="38">
        <f t="shared" ref="G68" si="22">$I$7</f>
        <v>0.29199999999999998</v>
      </c>
      <c r="H68" s="16">
        <f t="shared" ref="H68" si="23">ROUND(F68*G68+F68,2)</f>
        <v>601.4</v>
      </c>
      <c r="I68" s="34">
        <f t="shared" ref="I68" si="24">ROUND(E68*H68,2)</f>
        <v>2405.6</v>
      </c>
      <c r="J68" s="254" t="s">
        <v>109</v>
      </c>
      <c r="K68" s="259"/>
      <c r="L68" s="259"/>
      <c r="M68" s="259"/>
      <c r="N68" s="24">
        <f>1</f>
        <v>1</v>
      </c>
      <c r="P68" s="24">
        <f>N68*$P$2</f>
        <v>4</v>
      </c>
    </row>
    <row r="69" spans="1:16" s="57" customFormat="1" thickBot="1" x14ac:dyDescent="0.35">
      <c r="A69" s="27"/>
      <c r="B69" s="28"/>
      <c r="C69" s="443" t="s">
        <v>119</v>
      </c>
      <c r="D69" s="443"/>
      <c r="E69" s="443"/>
      <c r="F69" s="443"/>
      <c r="G69" s="443"/>
      <c r="H69" s="443"/>
      <c r="I69" s="20">
        <f>I68</f>
        <v>2405.6</v>
      </c>
      <c r="J69" s="56"/>
      <c r="K69" s="255"/>
      <c r="L69" s="255"/>
      <c r="M69" s="255"/>
    </row>
    <row r="70" spans="1:16" s="40" customFormat="1" ht="13.8" x14ac:dyDescent="0.3">
      <c r="A70" s="247" t="s">
        <v>89</v>
      </c>
      <c r="B70" s="431"/>
      <c r="C70" s="248" t="s">
        <v>233</v>
      </c>
      <c r="D70" s="433"/>
      <c r="E70" s="434"/>
      <c r="F70" s="434"/>
      <c r="G70" s="434"/>
      <c r="H70" s="434"/>
      <c r="I70" s="435"/>
      <c r="J70" s="56"/>
      <c r="K70" s="43"/>
      <c r="L70" s="43"/>
      <c r="M70" s="43"/>
    </row>
    <row r="71" spans="1:16" s="40" customFormat="1" ht="13.8" x14ac:dyDescent="0.3">
      <c r="A71" s="9" t="s">
        <v>90</v>
      </c>
      <c r="B71" s="432"/>
      <c r="C71" s="10" t="s">
        <v>2</v>
      </c>
      <c r="D71" s="436"/>
      <c r="E71" s="437"/>
      <c r="F71" s="437"/>
      <c r="G71" s="437"/>
      <c r="H71" s="437"/>
      <c r="I71" s="438"/>
      <c r="J71" s="56"/>
      <c r="K71" s="43"/>
      <c r="L71" s="43"/>
      <c r="M71" s="43"/>
    </row>
    <row r="72" spans="1:16" s="260" customFormat="1" ht="27.6" x14ac:dyDescent="0.3">
      <c r="A72" s="33" t="s">
        <v>91</v>
      </c>
      <c r="B72" s="12" t="s">
        <v>301</v>
      </c>
      <c r="C72" s="15" t="s">
        <v>300</v>
      </c>
      <c r="D72" s="12" t="s">
        <v>8</v>
      </c>
      <c r="E72" s="24">
        <f>'PLANILHA DE LEVANTAMENTO'!O32</f>
        <v>18.75</v>
      </c>
      <c r="F72" s="36">
        <v>180.45</v>
      </c>
      <c r="G72" s="38">
        <f t="shared" ref="G72:G73" si="25">$I$7</f>
        <v>0.29199999999999998</v>
      </c>
      <c r="H72" s="16">
        <f t="shared" ref="H72:H73" si="26">ROUND(F72*G72+F72,2)</f>
        <v>233.14</v>
      </c>
      <c r="I72" s="34">
        <f t="shared" ref="I72:I73" si="27">ROUND(E72*H72,2)</f>
        <v>4371.38</v>
      </c>
      <c r="J72" s="254" t="s">
        <v>109</v>
      </c>
      <c r="K72" s="259"/>
      <c r="L72" s="43"/>
      <c r="M72" s="259"/>
      <c r="N72" s="24">
        <f>1</f>
        <v>1</v>
      </c>
      <c r="P72" s="24">
        <f>N72*$P$2</f>
        <v>4</v>
      </c>
    </row>
    <row r="73" spans="1:16" s="260" customFormat="1" ht="27.6" x14ac:dyDescent="0.3">
      <c r="A73" s="33" t="s">
        <v>92</v>
      </c>
      <c r="B73" s="12" t="s">
        <v>416</v>
      </c>
      <c r="C73" s="15" t="s">
        <v>417</v>
      </c>
      <c r="D73" s="70" t="s">
        <v>3</v>
      </c>
      <c r="E73" s="24">
        <f>'PLANILHA DE LEVANTAMENTO'!N32</f>
        <v>3</v>
      </c>
      <c r="F73" s="36">
        <f>L73</f>
        <v>3495.39</v>
      </c>
      <c r="G73" s="38">
        <f t="shared" si="25"/>
        <v>0.29199999999999998</v>
      </c>
      <c r="H73" s="16">
        <f t="shared" si="26"/>
        <v>4516.04</v>
      </c>
      <c r="I73" s="34">
        <f t="shared" si="27"/>
        <v>13548.12</v>
      </c>
      <c r="J73" s="254"/>
      <c r="K73" s="259"/>
      <c r="L73" s="421">
        <f>3575.67-80.28</f>
        <v>3495.39</v>
      </c>
      <c r="M73" s="259"/>
      <c r="N73" s="24">
        <f>1</f>
        <v>1</v>
      </c>
      <c r="P73" s="24">
        <f t="shared" ref="P73" si="28">N73*$P$2</f>
        <v>4</v>
      </c>
    </row>
    <row r="74" spans="1:16" s="57" customFormat="1" thickBot="1" x14ac:dyDescent="0.35">
      <c r="A74" s="269"/>
      <c r="B74" s="270"/>
      <c r="C74" s="444" t="s">
        <v>120</v>
      </c>
      <c r="D74" s="444"/>
      <c r="E74" s="444"/>
      <c r="F74" s="444"/>
      <c r="G74" s="444"/>
      <c r="H74" s="444"/>
      <c r="I74" s="271">
        <f>SUM(I72:I73)</f>
        <v>17919.5</v>
      </c>
      <c r="J74" s="56"/>
      <c r="K74" s="255"/>
      <c r="L74" s="43"/>
      <c r="M74" s="255"/>
    </row>
    <row r="75" spans="1:16" s="40" customFormat="1" ht="13.8" x14ac:dyDescent="0.3">
      <c r="A75" s="247" t="s">
        <v>93</v>
      </c>
      <c r="B75" s="431"/>
      <c r="C75" s="248" t="s">
        <v>6</v>
      </c>
      <c r="D75" s="433"/>
      <c r="E75" s="434"/>
      <c r="F75" s="434"/>
      <c r="G75" s="434"/>
      <c r="H75" s="434"/>
      <c r="I75" s="435"/>
      <c r="J75" s="56"/>
      <c r="L75" s="43"/>
    </row>
    <row r="76" spans="1:16" s="40" customFormat="1" ht="13.8" x14ac:dyDescent="0.3">
      <c r="A76" s="9" t="s">
        <v>234</v>
      </c>
      <c r="B76" s="432"/>
      <c r="C76" s="10" t="s">
        <v>2</v>
      </c>
      <c r="D76" s="436"/>
      <c r="E76" s="437"/>
      <c r="F76" s="437"/>
      <c r="G76" s="437"/>
      <c r="H76" s="437"/>
      <c r="I76" s="438"/>
      <c r="J76" s="56"/>
      <c r="K76" s="58"/>
      <c r="L76" s="43"/>
      <c r="M76" s="58"/>
    </row>
    <row r="77" spans="1:16" s="40" customFormat="1" ht="13.8" x14ac:dyDescent="0.3">
      <c r="A77" s="30" t="s">
        <v>94</v>
      </c>
      <c r="B77" s="12" t="s">
        <v>144</v>
      </c>
      <c r="C77" s="15" t="s">
        <v>35</v>
      </c>
      <c r="D77" s="12" t="s">
        <v>13</v>
      </c>
      <c r="E77" s="24">
        <f>E83/1000</f>
        <v>2.2130700000000001</v>
      </c>
      <c r="F77" s="100">
        <v>1442.2</v>
      </c>
      <c r="G77" s="38">
        <f t="shared" ref="G77:G85" si="29">$I$7</f>
        <v>0.29199999999999998</v>
      </c>
      <c r="H77" s="16">
        <f t="shared" ref="H77:H82" si="30">ROUND(F77*G77+F77,2)</f>
        <v>1863.32</v>
      </c>
      <c r="I77" s="34">
        <f t="shared" ref="I77:I82" si="31">ROUND(E77*H77,2)</f>
        <v>4123.66</v>
      </c>
      <c r="J77" s="56">
        <v>679.74</v>
      </c>
      <c r="K77" s="58"/>
      <c r="L77" s="58"/>
      <c r="M77" s="58"/>
    </row>
    <row r="78" spans="1:16" s="40" customFormat="1" ht="13.8" x14ac:dyDescent="0.3">
      <c r="A78" s="30" t="s">
        <v>95</v>
      </c>
      <c r="B78" s="23" t="s">
        <v>143</v>
      </c>
      <c r="C78" s="15" t="s">
        <v>31</v>
      </c>
      <c r="D78" s="12" t="s">
        <v>8</v>
      </c>
      <c r="E78" s="24">
        <f>E83*0.4</f>
        <v>885.22800000000007</v>
      </c>
      <c r="F78" s="100">
        <v>5.75</v>
      </c>
      <c r="G78" s="38">
        <f t="shared" si="29"/>
        <v>0.29199999999999998</v>
      </c>
      <c r="H78" s="16">
        <f t="shared" si="30"/>
        <v>7.43</v>
      </c>
      <c r="I78" s="34">
        <f t="shared" si="31"/>
        <v>6577.24</v>
      </c>
      <c r="J78" s="56">
        <v>2.7</v>
      </c>
      <c r="K78" s="58"/>
      <c r="L78" s="58"/>
      <c r="M78" s="58"/>
    </row>
    <row r="79" spans="1:16" s="50" customFormat="1" ht="13.8" x14ac:dyDescent="0.3">
      <c r="A79" s="30" t="s">
        <v>96</v>
      </c>
      <c r="B79" s="23" t="s">
        <v>149</v>
      </c>
      <c r="C79" s="15" t="s">
        <v>36</v>
      </c>
      <c r="D79" s="12" t="s">
        <v>11</v>
      </c>
      <c r="E79" s="24">
        <f>E83*0.4*0.6</f>
        <v>531.13679999999999</v>
      </c>
      <c r="F79" s="100">
        <v>12.67</v>
      </c>
      <c r="G79" s="38">
        <f t="shared" si="29"/>
        <v>0.29199999999999998</v>
      </c>
      <c r="H79" s="16">
        <f t="shared" si="30"/>
        <v>16.37</v>
      </c>
      <c r="I79" s="34">
        <f t="shared" si="31"/>
        <v>8694.7099999999991</v>
      </c>
      <c r="J79" s="258">
        <v>5.76</v>
      </c>
      <c r="K79" s="49"/>
      <c r="L79" s="49"/>
      <c r="M79" s="49"/>
      <c r="O79" s="51"/>
    </row>
    <row r="80" spans="1:16" s="57" customFormat="1" ht="13.8" x14ac:dyDescent="0.3">
      <c r="A80" s="30" t="s">
        <v>97</v>
      </c>
      <c r="B80" s="23" t="s">
        <v>156</v>
      </c>
      <c r="C80" s="15" t="s">
        <v>199</v>
      </c>
      <c r="D80" s="12" t="s">
        <v>8</v>
      </c>
      <c r="E80" s="24">
        <f>E83*0.4</f>
        <v>885.22800000000007</v>
      </c>
      <c r="F80" s="100">
        <v>7.19</v>
      </c>
      <c r="G80" s="38">
        <f t="shared" si="29"/>
        <v>0.29199999999999998</v>
      </c>
      <c r="H80" s="16">
        <f t="shared" si="30"/>
        <v>9.2899999999999991</v>
      </c>
      <c r="I80" s="34">
        <f t="shared" si="31"/>
        <v>8223.77</v>
      </c>
      <c r="J80" s="56"/>
      <c r="K80" s="47"/>
      <c r="L80" s="47"/>
      <c r="M80" s="47"/>
    </row>
    <row r="81" spans="1:16" s="57" customFormat="1" ht="13.8" x14ac:dyDescent="0.3">
      <c r="A81" s="30" t="s">
        <v>98</v>
      </c>
      <c r="B81" s="23" t="s">
        <v>140</v>
      </c>
      <c r="C81" s="15" t="s">
        <v>37</v>
      </c>
      <c r="D81" s="12" t="s">
        <v>11</v>
      </c>
      <c r="E81" s="24">
        <f>E79</f>
        <v>531.13679999999999</v>
      </c>
      <c r="F81" s="100">
        <v>21.25</v>
      </c>
      <c r="G81" s="38">
        <f t="shared" si="29"/>
        <v>0.29199999999999998</v>
      </c>
      <c r="H81" s="16">
        <f t="shared" si="30"/>
        <v>27.46</v>
      </c>
      <c r="I81" s="34">
        <f t="shared" si="31"/>
        <v>14585.02</v>
      </c>
      <c r="J81" s="56">
        <v>10.15</v>
      </c>
      <c r="K81" s="47"/>
      <c r="L81" s="47"/>
      <c r="M81" s="47"/>
      <c r="N81" s="47"/>
    </row>
    <row r="82" spans="1:16" s="40" customFormat="1" ht="13.8" x14ac:dyDescent="0.3">
      <c r="A82" s="30" t="s">
        <v>99</v>
      </c>
      <c r="B82" s="23" t="s">
        <v>142</v>
      </c>
      <c r="C82" s="15" t="s">
        <v>38</v>
      </c>
      <c r="D82" s="12" t="s">
        <v>9</v>
      </c>
      <c r="E82" s="24">
        <f>E83</f>
        <v>2213.0700000000002</v>
      </c>
      <c r="F82" s="100">
        <v>1.99</v>
      </c>
      <c r="G82" s="38">
        <f t="shared" si="29"/>
        <v>0.29199999999999998</v>
      </c>
      <c r="H82" s="16">
        <f t="shared" si="30"/>
        <v>2.57</v>
      </c>
      <c r="I82" s="34">
        <f t="shared" si="31"/>
        <v>5687.59</v>
      </c>
      <c r="J82" s="56">
        <v>0.98</v>
      </c>
    </row>
    <row r="83" spans="1:16" s="42" customFormat="1" ht="13.8" x14ac:dyDescent="0.3">
      <c r="A83" s="30" t="s">
        <v>100</v>
      </c>
      <c r="B83" s="17" t="s">
        <v>375</v>
      </c>
      <c r="C83" s="25" t="s">
        <v>202</v>
      </c>
      <c r="D83" s="17" t="s">
        <v>27</v>
      </c>
      <c r="E83" s="26">
        <f>'PLANILHA DE LEVANTAMENTO'!L32</f>
        <v>2213.0700000000002</v>
      </c>
      <c r="F83" s="265">
        <v>20.46</v>
      </c>
      <c r="G83" s="38">
        <f>$I$8</f>
        <v>0.2054</v>
      </c>
      <c r="H83" s="19">
        <f>ROUND(F83*G83+F83,2)</f>
        <v>24.66</v>
      </c>
      <c r="I83" s="266">
        <f>ROUND(E83*H83,2)</f>
        <v>54574.31</v>
      </c>
      <c r="J83" s="254">
        <v>3.6</v>
      </c>
    </row>
    <row r="84" spans="1:16" s="380" customFormat="1" ht="41.4" x14ac:dyDescent="0.3">
      <c r="A84" s="35" t="s">
        <v>101</v>
      </c>
      <c r="B84" s="12" t="s">
        <v>376</v>
      </c>
      <c r="C84" s="15" t="s">
        <v>377</v>
      </c>
      <c r="D84" s="12" t="s">
        <v>8</v>
      </c>
      <c r="E84" s="24">
        <f>'PLANILHA DE LEVANTAMENTO'!M32</f>
        <v>209.16</v>
      </c>
      <c r="F84" s="36">
        <v>13.24</v>
      </c>
      <c r="G84" s="38">
        <f t="shared" si="29"/>
        <v>0.29199999999999998</v>
      </c>
      <c r="H84" s="16">
        <f>F84*1.3061</f>
        <v>17.292764000000002</v>
      </c>
      <c r="I84" s="34">
        <f>E84*H84</f>
        <v>3616.9545182400002</v>
      </c>
      <c r="J84" s="378"/>
      <c r="K84" s="378"/>
      <c r="L84" s="378"/>
      <c r="M84" s="378"/>
      <c r="N84" s="379"/>
      <c r="P84" s="381"/>
    </row>
    <row r="85" spans="1:16" s="380" customFormat="1" ht="42" thickBot="1" x14ac:dyDescent="0.35">
      <c r="A85" s="35" t="s">
        <v>102</v>
      </c>
      <c r="B85" s="12" t="s">
        <v>378</v>
      </c>
      <c r="C85" s="15" t="s">
        <v>379</v>
      </c>
      <c r="D85" s="12" t="s">
        <v>8</v>
      </c>
      <c r="E85" s="24">
        <f>E84</f>
        <v>209.16</v>
      </c>
      <c r="F85" s="36">
        <f>ROUND(L85,2)</f>
        <v>11.21</v>
      </c>
      <c r="G85" s="38">
        <f t="shared" si="29"/>
        <v>0.29199999999999998</v>
      </c>
      <c r="H85" s="16">
        <f>F85*1.3061</f>
        <v>14.641381000000001</v>
      </c>
      <c r="I85" s="34">
        <f>E85*H85</f>
        <v>3062.3912499600001</v>
      </c>
      <c r="J85" s="378"/>
      <c r="K85" s="378"/>
      <c r="L85" s="382">
        <f>(0.0463+0.22)+(7.1664)+(62.92*0.06)</f>
        <v>11.2079</v>
      </c>
      <c r="M85" s="378"/>
      <c r="N85" s="379"/>
      <c r="P85" s="381"/>
    </row>
    <row r="86" spans="1:16" s="40" customFormat="1" thickBot="1" x14ac:dyDescent="0.35">
      <c r="A86" s="425" t="s">
        <v>121</v>
      </c>
      <c r="B86" s="426"/>
      <c r="C86" s="426"/>
      <c r="D86" s="426"/>
      <c r="E86" s="426"/>
      <c r="F86" s="426"/>
      <c r="G86" s="426"/>
      <c r="H86" s="426"/>
      <c r="I86" s="32">
        <f>SUM(I77:I85)</f>
        <v>109145.6457682</v>
      </c>
      <c r="J86" s="56"/>
    </row>
    <row r="87" spans="1:16" s="40" customFormat="1" thickBot="1" x14ac:dyDescent="0.35">
      <c r="A87" s="425" t="s">
        <v>235</v>
      </c>
      <c r="B87" s="426"/>
      <c r="C87" s="426"/>
      <c r="D87" s="426"/>
      <c r="E87" s="426"/>
      <c r="F87" s="426"/>
      <c r="G87" s="426"/>
      <c r="H87" s="427"/>
      <c r="I87" s="31">
        <f>SUM(I17,I39,I53,I65,I69,I74,I86)</f>
        <v>519204.64576819999</v>
      </c>
      <c r="J87" s="56"/>
      <c r="K87" s="59"/>
      <c r="L87" s="59"/>
      <c r="M87" s="59"/>
    </row>
    <row r="88" spans="1:16" s="40" customFormat="1" ht="13.8" x14ac:dyDescent="0.3">
      <c r="A88" s="288" t="s">
        <v>103</v>
      </c>
      <c r="B88" s="261"/>
      <c r="C88" s="262" t="s">
        <v>112</v>
      </c>
      <c r="D88" s="428"/>
      <c r="E88" s="429"/>
      <c r="F88" s="429"/>
      <c r="G88" s="429"/>
      <c r="H88" s="429"/>
      <c r="I88" s="430"/>
      <c r="J88" s="56"/>
      <c r="K88" s="40" t="s">
        <v>7</v>
      </c>
    </row>
    <row r="89" spans="1:16" s="40" customFormat="1" ht="28.2" thickBot="1" x14ac:dyDescent="0.35">
      <c r="A89" s="289" t="s">
        <v>104</v>
      </c>
      <c r="B89" s="29" t="s">
        <v>201</v>
      </c>
      <c r="C89" s="18" t="s">
        <v>200</v>
      </c>
      <c r="D89" s="112" t="s">
        <v>113</v>
      </c>
      <c r="E89" s="89">
        <v>0.5</v>
      </c>
      <c r="F89" s="101">
        <f>I87</f>
        <v>519204.64576819999</v>
      </c>
      <c r="G89" s="94" t="s">
        <v>179</v>
      </c>
      <c r="H89" s="13">
        <f>F89*E89%</f>
        <v>2596.0232288410002</v>
      </c>
      <c r="I89" s="14">
        <f>H89</f>
        <v>2596.0232288410002</v>
      </c>
      <c r="J89" s="56"/>
      <c r="K89" s="40" t="s">
        <v>7</v>
      </c>
    </row>
    <row r="90" spans="1:16" s="40" customFormat="1" thickBot="1" x14ac:dyDescent="0.35">
      <c r="A90" s="425" t="s">
        <v>121</v>
      </c>
      <c r="B90" s="426"/>
      <c r="C90" s="426"/>
      <c r="D90" s="426"/>
      <c r="E90" s="426"/>
      <c r="F90" s="426"/>
      <c r="G90" s="426"/>
      <c r="H90" s="426"/>
      <c r="I90" s="31">
        <f>I89</f>
        <v>2596.0232288410002</v>
      </c>
      <c r="J90" s="56"/>
      <c r="K90" s="40" t="s">
        <v>7</v>
      </c>
    </row>
    <row r="91" spans="1:16" s="40" customFormat="1" ht="13.8" x14ac:dyDescent="0.3">
      <c r="A91" s="422"/>
      <c r="B91" s="423"/>
      <c r="C91" s="423"/>
      <c r="D91" s="423"/>
      <c r="E91" s="423"/>
      <c r="F91" s="423"/>
      <c r="G91" s="423"/>
      <c r="H91" s="423"/>
      <c r="I91" s="92"/>
      <c r="J91" s="56"/>
      <c r="K91" s="40" t="s">
        <v>7</v>
      </c>
    </row>
    <row r="92" spans="1:16" s="40" customFormat="1" ht="13.8" x14ac:dyDescent="0.3">
      <c r="A92" s="422" t="s">
        <v>154</v>
      </c>
      <c r="B92" s="423"/>
      <c r="C92" s="423"/>
      <c r="D92" s="423"/>
      <c r="E92" s="423"/>
      <c r="F92" s="423"/>
      <c r="G92" s="423"/>
      <c r="H92" s="423"/>
      <c r="I92" s="97">
        <f>I87+I90</f>
        <v>521800.66899704101</v>
      </c>
      <c r="J92" s="56"/>
    </row>
    <row r="93" spans="1:16" s="40" customFormat="1" thickBot="1" x14ac:dyDescent="0.35">
      <c r="A93" s="90"/>
      <c r="B93" s="91"/>
      <c r="C93" s="91"/>
      <c r="D93" s="91"/>
      <c r="E93" s="91"/>
      <c r="F93" s="102"/>
      <c r="G93" s="91"/>
      <c r="H93" s="91"/>
      <c r="I93" s="93"/>
      <c r="J93" s="56"/>
    </row>
    <row r="94" spans="1:16" s="40" customFormat="1" ht="13.8" x14ac:dyDescent="0.3">
      <c r="A94" s="66"/>
      <c r="B94" s="67"/>
      <c r="C94" s="263"/>
      <c r="D94" s="264"/>
      <c r="E94" s="263"/>
      <c r="F94" s="105"/>
      <c r="G94" s="263"/>
      <c r="H94" s="67"/>
      <c r="I94" s="69"/>
      <c r="J94" s="56"/>
      <c r="K94" s="40" t="s">
        <v>7</v>
      </c>
    </row>
    <row r="95" spans="1:16" s="40" customFormat="1" ht="13.8" x14ac:dyDescent="0.3">
      <c r="A95" s="60" t="s">
        <v>157</v>
      </c>
      <c r="C95" s="370"/>
      <c r="D95" s="371"/>
      <c r="E95" s="370"/>
      <c r="F95" s="106"/>
      <c r="G95" s="370"/>
      <c r="I95" s="61"/>
      <c r="J95" s="56"/>
    </row>
    <row r="96" spans="1:16" s="40" customFormat="1" ht="13.8" x14ac:dyDescent="0.3">
      <c r="A96" s="60"/>
      <c r="B96" s="57"/>
      <c r="C96" s="424"/>
      <c r="D96" s="424"/>
      <c r="E96" s="424"/>
      <c r="F96" s="424"/>
      <c r="G96" s="424"/>
      <c r="H96" s="424"/>
      <c r="I96" s="61"/>
      <c r="J96" s="56"/>
      <c r="K96" s="40" t="s">
        <v>7</v>
      </c>
    </row>
    <row r="97" spans="1:11" s="40" customFormat="1" thickBot="1" x14ac:dyDescent="0.35">
      <c r="A97" s="60"/>
      <c r="C97" s="57"/>
      <c r="E97" s="55"/>
      <c r="F97" s="103"/>
      <c r="I97" s="61"/>
      <c r="J97" s="56"/>
      <c r="K97" s="40" t="s">
        <v>7</v>
      </c>
    </row>
    <row r="98" spans="1:11" s="40" customFormat="1" thickBot="1" x14ac:dyDescent="0.35">
      <c r="A98" s="62"/>
      <c r="B98" s="63"/>
      <c r="C98" s="63"/>
      <c r="D98" s="64"/>
      <c r="E98" s="64"/>
      <c r="F98" s="104"/>
      <c r="G98" s="63"/>
      <c r="H98" s="63"/>
      <c r="I98" s="65"/>
      <c r="J98" s="56"/>
      <c r="K98" s="40" t="s">
        <v>7</v>
      </c>
    </row>
    <row r="99" spans="1:11" x14ac:dyDescent="0.3">
      <c r="A99" s="66"/>
      <c r="B99" s="67"/>
      <c r="C99" s="67"/>
      <c r="D99" s="68"/>
      <c r="E99" s="68"/>
      <c r="F99" s="105"/>
      <c r="G99" s="67"/>
      <c r="H99" s="67"/>
      <c r="I99" s="69"/>
      <c r="K99" s="1" t="s">
        <v>7</v>
      </c>
    </row>
    <row r="100" spans="1:11" x14ac:dyDescent="0.3">
      <c r="A100" s="60"/>
      <c r="B100" s="40"/>
      <c r="C100" s="40"/>
      <c r="D100" s="55"/>
      <c r="E100" s="55"/>
      <c r="F100" s="106"/>
      <c r="G100" s="40"/>
      <c r="H100" s="40"/>
      <c r="I100" s="61"/>
      <c r="K100" s="1" t="s">
        <v>7</v>
      </c>
    </row>
    <row r="101" spans="1:11" x14ac:dyDescent="0.3">
      <c r="A101" s="60"/>
      <c r="B101" s="40"/>
      <c r="C101" s="40"/>
      <c r="D101" s="55"/>
      <c r="E101" s="55"/>
      <c r="F101" s="106"/>
      <c r="G101" s="40"/>
      <c r="H101" s="40"/>
      <c r="I101" s="61"/>
    </row>
    <row r="102" spans="1:11" x14ac:dyDescent="0.3">
      <c r="A102" s="60"/>
      <c r="B102" s="40"/>
      <c r="C102" s="40"/>
      <c r="D102" s="55"/>
      <c r="E102" s="55"/>
      <c r="F102" s="106"/>
      <c r="G102" s="40"/>
      <c r="H102" s="40"/>
      <c r="I102" s="61"/>
    </row>
    <row r="103" spans="1:11" x14ac:dyDescent="0.3">
      <c r="A103" s="60"/>
      <c r="B103" s="40"/>
      <c r="C103" s="40"/>
      <c r="D103" s="55"/>
      <c r="E103" s="55"/>
      <c r="F103" s="106"/>
      <c r="G103" s="40"/>
      <c r="H103" s="40"/>
      <c r="I103" s="61"/>
    </row>
    <row r="104" spans="1:11" x14ac:dyDescent="0.3">
      <c r="A104" s="60"/>
      <c r="B104" s="40" t="s">
        <v>418</v>
      </c>
      <c r="C104" s="40"/>
      <c r="D104" s="55" t="s">
        <v>421</v>
      </c>
      <c r="E104" s="55"/>
      <c r="F104" s="106"/>
      <c r="G104" s="40"/>
      <c r="H104" s="40"/>
      <c r="I104" s="61"/>
    </row>
    <row r="105" spans="1:11" x14ac:dyDescent="0.3">
      <c r="A105" s="60"/>
      <c r="B105" s="40" t="s">
        <v>419</v>
      </c>
      <c r="C105" s="40"/>
      <c r="D105" s="55" t="s">
        <v>422</v>
      </c>
      <c r="E105" s="55"/>
      <c r="F105" s="106"/>
      <c r="G105" s="40"/>
      <c r="H105" s="40"/>
      <c r="I105" s="61"/>
    </row>
    <row r="106" spans="1:11" x14ac:dyDescent="0.3">
      <c r="A106" s="60"/>
      <c r="B106" s="40" t="s">
        <v>420</v>
      </c>
      <c r="C106" s="40"/>
      <c r="D106" s="55"/>
      <c r="E106" s="55"/>
      <c r="F106" s="106"/>
      <c r="G106" s="40"/>
      <c r="H106" s="40"/>
      <c r="I106" s="61"/>
    </row>
    <row r="107" spans="1:11" ht="15" thickBot="1" x14ac:dyDescent="0.35">
      <c r="A107" s="62"/>
      <c r="B107" s="63"/>
      <c r="C107" s="63"/>
      <c r="D107" s="64"/>
      <c r="E107" s="64"/>
      <c r="F107" s="104"/>
      <c r="G107" s="63"/>
      <c r="H107" s="63"/>
      <c r="I107" s="65"/>
    </row>
  </sheetData>
  <sheetProtection selectLockedCells="1" selectUnlockedCells="1"/>
  <protectedRanges>
    <protectedRange algorithmName="SHA-512" hashValue="jkWVlFyu+r5nN7Jgq79I91yHD1V0WPHq4QaqD7Rk8ck6Gd00T10crcTqCM9h/TV35bQnWmTNsYdT5WttiygQDQ==" saltValue="3k1TrnMgztAmxHZ8Eya3Eg==" spinCount="100000" sqref="L1:S1048576" name="Intervalo1"/>
  </protectedRanges>
  <mergeCells count="39">
    <mergeCell ref="A11:H11"/>
    <mergeCell ref="A1:I1"/>
    <mergeCell ref="A2:I2"/>
    <mergeCell ref="A3:I3"/>
    <mergeCell ref="A4:F4"/>
    <mergeCell ref="A5:F5"/>
    <mergeCell ref="A6:D6"/>
    <mergeCell ref="H6:I6"/>
    <mergeCell ref="A8:F8"/>
    <mergeCell ref="A9:I9"/>
    <mergeCell ref="H4:I5"/>
    <mergeCell ref="A7:G7"/>
    <mergeCell ref="C65:H65"/>
    <mergeCell ref="B13:B14"/>
    <mergeCell ref="D13:I14"/>
    <mergeCell ref="A17:H17"/>
    <mergeCell ref="B18:B19"/>
    <mergeCell ref="D18:I19"/>
    <mergeCell ref="A39:H39"/>
    <mergeCell ref="B40:B41"/>
    <mergeCell ref="D40:I41"/>
    <mergeCell ref="C53:H53"/>
    <mergeCell ref="B54:B55"/>
    <mergeCell ref="D54:I55"/>
    <mergeCell ref="B75:B76"/>
    <mergeCell ref="D75:I76"/>
    <mergeCell ref="A86:H86"/>
    <mergeCell ref="B66:B67"/>
    <mergeCell ref="D66:I67"/>
    <mergeCell ref="C69:H69"/>
    <mergeCell ref="B70:B71"/>
    <mergeCell ref="D70:I71"/>
    <mergeCell ref="C74:H74"/>
    <mergeCell ref="A91:H91"/>
    <mergeCell ref="A92:H92"/>
    <mergeCell ref="C96:H96"/>
    <mergeCell ref="A87:H87"/>
    <mergeCell ref="D88:I88"/>
    <mergeCell ref="A90:H90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65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872A7-9ED0-4D02-A0A4-9F63FC3EC0FB}">
  <dimension ref="A7:J81"/>
  <sheetViews>
    <sheetView zoomScale="80" zoomScaleNormal="80" workbookViewId="0">
      <selection activeCell="C83" sqref="C83"/>
    </sheetView>
  </sheetViews>
  <sheetFormatPr defaultRowHeight="13.8" x14ac:dyDescent="0.3"/>
  <cols>
    <col min="1" max="1" width="5.44140625" style="179" customWidth="1"/>
    <col min="2" max="2" width="8.88671875" style="179"/>
    <col min="3" max="3" width="42.77734375" style="179" bestFit="1" customWidth="1"/>
    <col min="4" max="4" width="17.88671875" style="179" bestFit="1" customWidth="1"/>
    <col min="5" max="5" width="21.88671875" style="179" bestFit="1" customWidth="1"/>
    <col min="6" max="6" width="16.6640625" style="179" customWidth="1"/>
    <col min="7" max="7" width="8.88671875" style="179"/>
    <col min="8" max="8" width="9.109375" style="179" bestFit="1" customWidth="1"/>
    <col min="9" max="9" width="9.5546875" style="179" bestFit="1" customWidth="1"/>
    <col min="10" max="16384" width="8.88671875" style="179"/>
  </cols>
  <sheetData>
    <row r="7" spans="1:10" ht="23.4" x14ac:dyDescent="0.45">
      <c r="A7" s="484" t="s">
        <v>303</v>
      </c>
      <c r="B7" s="484"/>
      <c r="C7" s="484"/>
      <c r="D7" s="484"/>
      <c r="E7" s="484"/>
      <c r="F7" s="484"/>
      <c r="G7" s="484"/>
      <c r="H7" s="484"/>
      <c r="I7" s="484"/>
      <c r="J7" s="484"/>
    </row>
    <row r="9" spans="1:10" x14ac:dyDescent="0.3">
      <c r="B9" s="179" t="str">
        <f>'PLANILHA ORÇAMENTÁRIA'!A4</f>
        <v>CONTRATANTE: MUNICÍPIO DE IBERTIOGA-MG.</v>
      </c>
    </row>
    <row r="10" spans="1:10" x14ac:dyDescent="0.3">
      <c r="B10" s="179" t="str">
        <f>'PLANILHA ORÇAMENTÁRIA'!A5</f>
        <v>OBRA: IMPLANTAÇÃO DE SISTEMAS SIMPLIFICADOS DE ABASTACIMENTO DE ÁGUA - 04 (QUATRO) POÇOS TUBULARES PROFUNDOS.</v>
      </c>
    </row>
    <row r="11" spans="1:10" x14ac:dyDescent="0.3">
      <c r="B11" s="179" t="str">
        <f>'PLANILHA ORÇAMENTÁRIA'!A6</f>
        <v>LOCALIDADES: 1 - ESTRADA DE ACESSO - COMUNIDADE AGUADA; 2 - COMUNIDADE CAPOEIRAS; 3 - COMUNIDADE FLORENÇA; E 4 - COMUNIDADE DE PORTEIRINHAS (1ª ETAPA) - ZONA RURAL - IBERTIOGA-MG</v>
      </c>
    </row>
    <row r="13" spans="1:10" x14ac:dyDescent="0.3">
      <c r="B13" s="179" t="str">
        <f>'PLANILHA ORÇAMENTÁRIA'!H4</f>
        <v>DATA:  12/09/2024</v>
      </c>
    </row>
    <row r="15" spans="1:10" x14ac:dyDescent="0.3">
      <c r="B15" s="179" t="s">
        <v>333</v>
      </c>
    </row>
    <row r="17" spans="2:9" x14ac:dyDescent="0.3">
      <c r="B17" s="490" t="s">
        <v>304</v>
      </c>
      <c r="C17" s="489" t="s">
        <v>327</v>
      </c>
      <c r="D17" s="485" t="s">
        <v>306</v>
      </c>
      <c r="E17" s="487" t="s">
        <v>307</v>
      </c>
      <c r="F17" s="485" t="s">
        <v>308</v>
      </c>
      <c r="G17" s="485" t="s">
        <v>27</v>
      </c>
      <c r="H17" s="485" t="s">
        <v>309</v>
      </c>
      <c r="I17" s="485" t="s">
        <v>315</v>
      </c>
    </row>
    <row r="18" spans="2:9" x14ac:dyDescent="0.3">
      <c r="B18" s="490"/>
      <c r="C18" s="489"/>
      <c r="D18" s="486"/>
      <c r="E18" s="488"/>
      <c r="F18" s="486"/>
      <c r="G18" s="486"/>
      <c r="H18" s="486"/>
      <c r="I18" s="486"/>
    </row>
    <row r="19" spans="2:9" x14ac:dyDescent="0.3">
      <c r="B19" s="490"/>
      <c r="C19" s="489"/>
      <c r="D19" s="395" t="s">
        <v>311</v>
      </c>
      <c r="E19" s="400" t="s">
        <v>312</v>
      </c>
      <c r="F19" s="395" t="s">
        <v>313</v>
      </c>
      <c r="G19" s="486"/>
      <c r="H19" s="486"/>
      <c r="I19" s="486"/>
    </row>
    <row r="20" spans="2:9" x14ac:dyDescent="0.3">
      <c r="B20" s="490"/>
      <c r="C20" s="489"/>
      <c r="D20" s="354" t="s">
        <v>310</v>
      </c>
      <c r="E20" s="355" t="s">
        <v>310</v>
      </c>
      <c r="F20" s="354" t="s">
        <v>310</v>
      </c>
      <c r="G20" s="354"/>
      <c r="H20" s="354" t="s">
        <v>310</v>
      </c>
      <c r="I20" s="354" t="s">
        <v>310</v>
      </c>
    </row>
    <row r="21" spans="2:9" x14ac:dyDescent="0.3">
      <c r="B21" s="397"/>
      <c r="C21" s="396"/>
      <c r="D21" s="397"/>
      <c r="E21" s="356"/>
      <c r="F21" s="397"/>
      <c r="G21" s="397"/>
      <c r="H21" s="397"/>
      <c r="I21" s="397"/>
    </row>
    <row r="22" spans="2:9" x14ac:dyDescent="0.3">
      <c r="B22" s="360">
        <v>1</v>
      </c>
      <c r="C22" s="361" t="s">
        <v>305</v>
      </c>
      <c r="D22" s="100">
        <v>70.989999999999995</v>
      </c>
      <c r="E22" s="358">
        <v>54.5</v>
      </c>
      <c r="F22" s="100">
        <v>46.72</v>
      </c>
      <c r="G22" s="100">
        <v>50</v>
      </c>
      <c r="H22" s="362">
        <f>E22</f>
        <v>54.5</v>
      </c>
      <c r="I22" s="362">
        <f>H22/G22</f>
        <v>1.0900000000000001</v>
      </c>
    </row>
    <row r="23" spans="2:9" x14ac:dyDescent="0.3">
      <c r="B23" s="353"/>
      <c r="C23" s="357"/>
      <c r="D23" s="353"/>
      <c r="E23" s="359"/>
      <c r="F23" s="353"/>
      <c r="G23" s="353"/>
      <c r="H23" s="353"/>
      <c r="I23" s="353"/>
    </row>
    <row r="24" spans="2:9" x14ac:dyDescent="0.3">
      <c r="B24" s="353"/>
      <c r="C24" s="357"/>
      <c r="D24" s="353"/>
      <c r="E24" s="359"/>
      <c r="F24" s="353"/>
      <c r="G24" s="353"/>
      <c r="H24" s="353"/>
      <c r="I24" s="353"/>
    </row>
    <row r="25" spans="2:9" x14ac:dyDescent="0.3">
      <c r="B25" s="353"/>
      <c r="C25" s="357"/>
      <c r="D25" s="485" t="s">
        <v>306</v>
      </c>
      <c r="E25" s="487" t="s">
        <v>307</v>
      </c>
      <c r="F25" s="485" t="s">
        <v>308</v>
      </c>
      <c r="G25" s="485" t="s">
        <v>27</v>
      </c>
      <c r="H25" s="485" t="s">
        <v>309</v>
      </c>
      <c r="I25" s="485" t="s">
        <v>315</v>
      </c>
    </row>
    <row r="26" spans="2:9" x14ac:dyDescent="0.3">
      <c r="B26" s="353"/>
      <c r="C26" s="357"/>
      <c r="D26" s="486"/>
      <c r="E26" s="488"/>
      <c r="F26" s="486"/>
      <c r="G26" s="486"/>
      <c r="H26" s="486"/>
      <c r="I26" s="486"/>
    </row>
    <row r="27" spans="2:9" x14ac:dyDescent="0.3">
      <c r="B27" s="353"/>
      <c r="C27" s="357"/>
      <c r="D27" s="395" t="s">
        <v>314</v>
      </c>
      <c r="E27" s="400" t="s">
        <v>316</v>
      </c>
      <c r="F27" s="395" t="s">
        <v>317</v>
      </c>
      <c r="G27" s="486"/>
      <c r="H27" s="486"/>
      <c r="I27" s="486"/>
    </row>
    <row r="28" spans="2:9" x14ac:dyDescent="0.3">
      <c r="B28" s="353"/>
      <c r="C28" s="357"/>
      <c r="D28" s="354" t="s">
        <v>310</v>
      </c>
      <c r="E28" s="355" t="s">
        <v>310</v>
      </c>
      <c r="F28" s="354" t="s">
        <v>310</v>
      </c>
      <c r="G28" s="354"/>
      <c r="H28" s="354" t="s">
        <v>310</v>
      </c>
      <c r="I28" s="354" t="s">
        <v>310</v>
      </c>
    </row>
    <row r="29" spans="2:9" x14ac:dyDescent="0.3">
      <c r="B29" s="360">
        <v>2</v>
      </c>
      <c r="C29" s="361" t="s">
        <v>336</v>
      </c>
      <c r="D29" s="100">
        <v>293.55</v>
      </c>
      <c r="E29" s="358">
        <v>239</v>
      </c>
      <c r="F29" s="100">
        <v>257.75</v>
      </c>
      <c r="G29" s="100">
        <v>100</v>
      </c>
      <c r="H29" s="362">
        <f>F29</f>
        <v>257.75</v>
      </c>
      <c r="I29" s="362">
        <f>H29/G29</f>
        <v>2.5775000000000001</v>
      </c>
    </row>
    <row r="30" spans="2:9" x14ac:dyDescent="0.3">
      <c r="B30" s="353"/>
      <c r="C30" s="357"/>
      <c r="D30" s="353"/>
      <c r="E30" s="359"/>
      <c r="F30" s="353"/>
      <c r="G30" s="353"/>
      <c r="H30" s="353"/>
      <c r="I30" s="353"/>
    </row>
    <row r="31" spans="2:9" x14ac:dyDescent="0.3">
      <c r="B31" s="353"/>
      <c r="C31" s="357"/>
      <c r="D31" s="353"/>
      <c r="E31" s="359"/>
      <c r="F31" s="353"/>
      <c r="G31" s="353"/>
      <c r="H31" s="353"/>
      <c r="I31" s="353"/>
    </row>
    <row r="32" spans="2:9" x14ac:dyDescent="0.3">
      <c r="B32" s="353"/>
      <c r="C32" s="357"/>
      <c r="D32" s="485" t="s">
        <v>306</v>
      </c>
      <c r="E32" s="487" t="s">
        <v>307</v>
      </c>
      <c r="F32" s="485" t="s">
        <v>308</v>
      </c>
      <c r="G32" s="485" t="s">
        <v>105</v>
      </c>
      <c r="H32" s="485" t="s">
        <v>309</v>
      </c>
      <c r="I32" s="485" t="s">
        <v>325</v>
      </c>
    </row>
    <row r="33" spans="2:9" x14ac:dyDescent="0.3">
      <c r="B33" s="353"/>
      <c r="C33" s="357"/>
      <c r="D33" s="486"/>
      <c r="E33" s="488"/>
      <c r="F33" s="486"/>
      <c r="G33" s="486"/>
      <c r="H33" s="486"/>
      <c r="I33" s="486"/>
    </row>
    <row r="34" spans="2:9" x14ac:dyDescent="0.3">
      <c r="B34" s="353"/>
      <c r="C34" s="357"/>
      <c r="D34" s="395" t="s">
        <v>318</v>
      </c>
      <c r="E34" s="400" t="s">
        <v>319</v>
      </c>
      <c r="F34" s="395" t="s">
        <v>317</v>
      </c>
      <c r="G34" s="486"/>
      <c r="H34" s="486"/>
      <c r="I34" s="486"/>
    </row>
    <row r="35" spans="2:9" x14ac:dyDescent="0.3">
      <c r="B35" s="353"/>
      <c r="C35" s="357"/>
      <c r="D35" s="354" t="s">
        <v>310</v>
      </c>
      <c r="E35" s="355" t="s">
        <v>310</v>
      </c>
      <c r="F35" s="354" t="s">
        <v>310</v>
      </c>
      <c r="G35" s="354"/>
      <c r="H35" s="354" t="s">
        <v>310</v>
      </c>
      <c r="I35" s="354" t="s">
        <v>310</v>
      </c>
    </row>
    <row r="36" spans="2:9" x14ac:dyDescent="0.3">
      <c r="B36" s="360">
        <v>3</v>
      </c>
      <c r="C36" s="361" t="s">
        <v>346</v>
      </c>
      <c r="D36" s="100">
        <v>45.75</v>
      </c>
      <c r="E36" s="358">
        <v>31.5</v>
      </c>
      <c r="F36" s="100">
        <v>43.9</v>
      </c>
      <c r="G36" s="100">
        <v>1</v>
      </c>
      <c r="H36" s="362">
        <f>F36</f>
        <v>43.9</v>
      </c>
      <c r="I36" s="362">
        <f>H36/G36</f>
        <v>43.9</v>
      </c>
    </row>
    <row r="37" spans="2:9" x14ac:dyDescent="0.3">
      <c r="B37" s="353"/>
      <c r="C37" s="357"/>
      <c r="D37" s="353"/>
      <c r="E37" s="359"/>
      <c r="F37" s="353"/>
      <c r="G37" s="353"/>
      <c r="H37" s="353"/>
      <c r="I37" s="353"/>
    </row>
    <row r="38" spans="2:9" x14ac:dyDescent="0.3">
      <c r="B38" s="353"/>
      <c r="C38" s="357"/>
      <c r="D38" s="353"/>
      <c r="E38" s="359"/>
      <c r="F38" s="353"/>
      <c r="G38" s="353"/>
      <c r="H38" s="353"/>
      <c r="I38" s="353"/>
    </row>
    <row r="39" spans="2:9" x14ac:dyDescent="0.3">
      <c r="B39" s="353"/>
      <c r="C39" s="357"/>
      <c r="D39" s="485" t="s">
        <v>306</v>
      </c>
      <c r="E39" s="487" t="s">
        <v>307</v>
      </c>
      <c r="F39" s="485" t="s">
        <v>308</v>
      </c>
      <c r="G39" s="485" t="s">
        <v>105</v>
      </c>
      <c r="H39" s="485" t="s">
        <v>309</v>
      </c>
      <c r="I39" s="485" t="s">
        <v>325</v>
      </c>
    </row>
    <row r="40" spans="2:9" x14ac:dyDescent="0.3">
      <c r="B40" s="353"/>
      <c r="C40" s="357"/>
      <c r="D40" s="486"/>
      <c r="E40" s="488"/>
      <c r="F40" s="486"/>
      <c r="G40" s="486"/>
      <c r="H40" s="486"/>
      <c r="I40" s="486"/>
    </row>
    <row r="41" spans="2:9" x14ac:dyDescent="0.3">
      <c r="B41" s="353"/>
      <c r="C41" s="357"/>
      <c r="D41" s="395" t="s">
        <v>320</v>
      </c>
      <c r="E41" s="400" t="s">
        <v>321</v>
      </c>
      <c r="F41" s="395" t="s">
        <v>322</v>
      </c>
      <c r="G41" s="486"/>
      <c r="H41" s="486"/>
      <c r="I41" s="486"/>
    </row>
    <row r="42" spans="2:9" x14ac:dyDescent="0.3">
      <c r="B42" s="353"/>
      <c r="C42" s="357"/>
      <c r="D42" s="354" t="s">
        <v>310</v>
      </c>
      <c r="E42" s="355" t="s">
        <v>310</v>
      </c>
      <c r="F42" s="354" t="s">
        <v>310</v>
      </c>
      <c r="G42" s="354"/>
      <c r="H42" s="354" t="s">
        <v>310</v>
      </c>
      <c r="I42" s="354" t="s">
        <v>310</v>
      </c>
    </row>
    <row r="43" spans="2:9" ht="41.4" x14ac:dyDescent="0.3">
      <c r="B43" s="360">
        <v>4</v>
      </c>
      <c r="C43" s="363" t="s">
        <v>295</v>
      </c>
      <c r="D43" s="110">
        <v>5618.7</v>
      </c>
      <c r="E43" s="364">
        <v>4748.03</v>
      </c>
      <c r="F43" s="110">
        <v>6769</v>
      </c>
      <c r="G43" s="110">
        <v>1</v>
      </c>
      <c r="H43" s="365">
        <f>D43</f>
        <v>5618.7</v>
      </c>
      <c r="I43" s="365">
        <f>H43/G43</f>
        <v>5618.7</v>
      </c>
    </row>
    <row r="44" spans="2:9" x14ac:dyDescent="0.3">
      <c r="B44" s="353"/>
      <c r="C44" s="357"/>
      <c r="D44" s="353"/>
      <c r="E44" s="359"/>
      <c r="F44" s="353"/>
      <c r="G44" s="353"/>
      <c r="H44" s="353"/>
      <c r="I44" s="353"/>
    </row>
    <row r="45" spans="2:9" x14ac:dyDescent="0.3">
      <c r="B45" s="353"/>
      <c r="C45" s="357"/>
      <c r="D45" s="353"/>
      <c r="E45" s="359"/>
      <c r="F45" s="353"/>
      <c r="G45" s="353"/>
      <c r="H45" s="353"/>
      <c r="I45" s="353"/>
    </row>
    <row r="46" spans="2:9" x14ac:dyDescent="0.3">
      <c r="B46" s="353"/>
      <c r="C46" s="357"/>
      <c r="D46" s="485" t="s">
        <v>306</v>
      </c>
      <c r="E46" s="487" t="s">
        <v>307</v>
      </c>
      <c r="F46" s="485" t="s">
        <v>308</v>
      </c>
      <c r="G46" s="485" t="s">
        <v>105</v>
      </c>
      <c r="H46" s="485" t="s">
        <v>309</v>
      </c>
      <c r="I46" s="485" t="s">
        <v>325</v>
      </c>
    </row>
    <row r="47" spans="2:9" x14ac:dyDescent="0.3">
      <c r="B47" s="353"/>
      <c r="C47" s="357"/>
      <c r="D47" s="486"/>
      <c r="E47" s="488"/>
      <c r="F47" s="486"/>
      <c r="G47" s="486"/>
      <c r="H47" s="486"/>
      <c r="I47" s="486"/>
    </row>
    <row r="48" spans="2:9" x14ac:dyDescent="0.3">
      <c r="B48" s="353"/>
      <c r="C48" s="357"/>
      <c r="D48" s="395" t="s">
        <v>323</v>
      </c>
      <c r="E48" s="400" t="s">
        <v>320</v>
      </c>
      <c r="F48" s="395" t="s">
        <v>324</v>
      </c>
      <c r="G48" s="486"/>
      <c r="H48" s="486"/>
      <c r="I48" s="486"/>
    </row>
    <row r="49" spans="2:9" x14ac:dyDescent="0.3">
      <c r="B49" s="353"/>
      <c r="C49" s="357"/>
      <c r="D49" s="354" t="s">
        <v>310</v>
      </c>
      <c r="E49" s="355" t="s">
        <v>310</v>
      </c>
      <c r="F49" s="354" t="s">
        <v>310</v>
      </c>
      <c r="G49" s="354"/>
      <c r="H49" s="354" t="s">
        <v>310</v>
      </c>
      <c r="I49" s="354" t="s">
        <v>310</v>
      </c>
    </row>
    <row r="50" spans="2:9" ht="27.6" x14ac:dyDescent="0.3">
      <c r="B50" s="360">
        <v>5</v>
      </c>
      <c r="C50" s="363" t="s">
        <v>364</v>
      </c>
      <c r="D50" s="110">
        <v>1570.87</v>
      </c>
      <c r="E50" s="364">
        <v>811.8</v>
      </c>
      <c r="F50" s="110">
        <v>998</v>
      </c>
      <c r="G50" s="110">
        <v>1</v>
      </c>
      <c r="H50" s="365">
        <f>F50</f>
        <v>998</v>
      </c>
      <c r="I50" s="365">
        <f>H50/G50</f>
        <v>998</v>
      </c>
    </row>
    <row r="51" spans="2:9" x14ac:dyDescent="0.3">
      <c r="B51" s="353"/>
      <c r="C51" s="357"/>
      <c r="D51" s="353"/>
      <c r="E51" s="359"/>
      <c r="F51" s="353"/>
      <c r="G51" s="353"/>
      <c r="H51" s="353"/>
      <c r="I51" s="353"/>
    </row>
    <row r="52" spans="2:9" x14ac:dyDescent="0.3">
      <c r="B52" s="353"/>
      <c r="C52" s="357"/>
      <c r="D52" s="353"/>
      <c r="E52" s="359"/>
      <c r="F52" s="353"/>
      <c r="G52" s="353"/>
      <c r="H52" s="353"/>
      <c r="I52" s="353"/>
    </row>
    <row r="53" spans="2:9" x14ac:dyDescent="0.3">
      <c r="B53" s="353"/>
      <c r="C53" s="357"/>
      <c r="D53" s="485" t="s">
        <v>306</v>
      </c>
      <c r="E53" s="487" t="s">
        <v>307</v>
      </c>
      <c r="F53" s="485" t="s">
        <v>308</v>
      </c>
      <c r="G53" s="485" t="s">
        <v>105</v>
      </c>
      <c r="H53" s="485" t="s">
        <v>309</v>
      </c>
      <c r="I53" s="485" t="s">
        <v>325</v>
      </c>
    </row>
    <row r="54" spans="2:9" x14ac:dyDescent="0.3">
      <c r="B54" s="353"/>
      <c r="C54" s="357"/>
      <c r="D54" s="486"/>
      <c r="E54" s="488"/>
      <c r="F54" s="486"/>
      <c r="G54" s="486"/>
      <c r="H54" s="486"/>
      <c r="I54" s="486"/>
    </row>
    <row r="55" spans="2:9" x14ac:dyDescent="0.3">
      <c r="B55" s="353"/>
      <c r="C55" s="357"/>
      <c r="D55" s="395" t="s">
        <v>381</v>
      </c>
      <c r="E55" s="400" t="s">
        <v>382</v>
      </c>
      <c r="F55" s="395" t="s">
        <v>383</v>
      </c>
      <c r="G55" s="486"/>
      <c r="H55" s="486"/>
      <c r="I55" s="486"/>
    </row>
    <row r="56" spans="2:9" x14ac:dyDescent="0.3">
      <c r="B56" s="353"/>
      <c r="C56" s="357"/>
      <c r="D56" s="354" t="s">
        <v>310</v>
      </c>
      <c r="E56" s="355" t="s">
        <v>310</v>
      </c>
      <c r="F56" s="354" t="s">
        <v>310</v>
      </c>
      <c r="G56" s="354"/>
      <c r="H56" s="354" t="s">
        <v>310</v>
      </c>
      <c r="I56" s="354" t="s">
        <v>310</v>
      </c>
    </row>
    <row r="57" spans="2:9" ht="41.4" x14ac:dyDescent="0.3">
      <c r="B57" s="360">
        <v>6</v>
      </c>
      <c r="C57" s="363" t="s">
        <v>384</v>
      </c>
      <c r="D57" s="110">
        <v>329</v>
      </c>
      <c r="E57" s="364">
        <v>327.58999999999997</v>
      </c>
      <c r="F57" s="110">
        <v>389</v>
      </c>
      <c r="G57" s="110">
        <v>1</v>
      </c>
      <c r="H57" s="365">
        <f>D57</f>
        <v>329</v>
      </c>
      <c r="I57" s="365">
        <f>H57/G57</f>
        <v>329</v>
      </c>
    </row>
    <row r="58" spans="2:9" x14ac:dyDescent="0.3">
      <c r="B58" s="360"/>
      <c r="C58" s="363"/>
      <c r="D58" s="110"/>
      <c r="E58" s="364"/>
      <c r="F58" s="110"/>
      <c r="G58" s="110"/>
      <c r="H58" s="365"/>
      <c r="I58" s="365"/>
    </row>
    <row r="59" spans="2:9" x14ac:dyDescent="0.3">
      <c r="B59" s="353"/>
      <c r="C59" s="357"/>
      <c r="D59" s="353"/>
      <c r="E59" s="359"/>
      <c r="F59" s="353"/>
      <c r="G59" s="353"/>
      <c r="H59" s="353"/>
      <c r="I59" s="353"/>
    </row>
    <row r="60" spans="2:9" x14ac:dyDescent="0.3">
      <c r="B60" s="353"/>
      <c r="C60" s="357"/>
      <c r="D60" s="485" t="s">
        <v>306</v>
      </c>
      <c r="E60" s="487" t="s">
        <v>307</v>
      </c>
      <c r="F60" s="485" t="s">
        <v>308</v>
      </c>
      <c r="G60" s="485" t="s">
        <v>27</v>
      </c>
      <c r="H60" s="485" t="s">
        <v>309</v>
      </c>
      <c r="I60" s="485" t="s">
        <v>397</v>
      </c>
    </row>
    <row r="61" spans="2:9" x14ac:dyDescent="0.3">
      <c r="B61" s="353"/>
      <c r="C61" s="357"/>
      <c r="D61" s="486"/>
      <c r="E61" s="488"/>
      <c r="F61" s="486"/>
      <c r="G61" s="486"/>
      <c r="H61" s="486"/>
      <c r="I61" s="486"/>
    </row>
    <row r="62" spans="2:9" ht="27.6" x14ac:dyDescent="0.3">
      <c r="B62" s="353"/>
      <c r="C62" s="357"/>
      <c r="D62" s="405" t="s">
        <v>398</v>
      </c>
      <c r="E62" s="401" t="s">
        <v>399</v>
      </c>
      <c r="F62" s="405" t="s">
        <v>408</v>
      </c>
      <c r="G62" s="486"/>
      <c r="H62" s="486"/>
      <c r="I62" s="486"/>
    </row>
    <row r="63" spans="2:9" x14ac:dyDescent="0.3">
      <c r="B63" s="353"/>
      <c r="C63" s="357"/>
      <c r="D63" s="354" t="s">
        <v>310</v>
      </c>
      <c r="E63" s="355" t="s">
        <v>310</v>
      </c>
      <c r="F63" s="354" t="s">
        <v>310</v>
      </c>
      <c r="G63" s="354"/>
      <c r="H63" s="354" t="s">
        <v>310</v>
      </c>
      <c r="I63" s="354" t="s">
        <v>310</v>
      </c>
    </row>
    <row r="64" spans="2:9" ht="27.6" x14ac:dyDescent="0.3">
      <c r="B64" s="360">
        <v>7</v>
      </c>
      <c r="C64" s="363" t="s">
        <v>400</v>
      </c>
      <c r="D64" s="110">
        <v>775</v>
      </c>
      <c r="E64" s="364">
        <v>790</v>
      </c>
      <c r="F64" s="110">
        <v>829.5</v>
      </c>
      <c r="G64" s="110">
        <v>6</v>
      </c>
      <c r="H64" s="365">
        <v>790</v>
      </c>
      <c r="I64" s="365">
        <f>H64/G64</f>
        <v>131.66666666666666</v>
      </c>
    </row>
    <row r="65" spans="2:9" x14ac:dyDescent="0.3">
      <c r="B65" s="360"/>
      <c r="C65" s="363"/>
      <c r="D65" s="110"/>
      <c r="E65" s="364"/>
      <c r="F65" s="110"/>
      <c r="G65" s="110"/>
      <c r="H65" s="365"/>
      <c r="I65" s="365"/>
    </row>
    <row r="66" spans="2:9" x14ac:dyDescent="0.3">
      <c r="B66" s="353"/>
      <c r="C66" s="357"/>
      <c r="D66" s="353"/>
      <c r="E66" s="359"/>
      <c r="F66" s="353"/>
      <c r="G66" s="353"/>
      <c r="H66" s="353"/>
      <c r="I66" s="353"/>
    </row>
    <row r="67" spans="2:9" x14ac:dyDescent="0.3">
      <c r="B67" s="353"/>
      <c r="C67" s="357"/>
      <c r="D67" s="485" t="s">
        <v>306</v>
      </c>
      <c r="E67" s="487" t="s">
        <v>307</v>
      </c>
      <c r="F67" s="485" t="s">
        <v>308</v>
      </c>
      <c r="G67" s="485" t="s">
        <v>27</v>
      </c>
      <c r="H67" s="485" t="s">
        <v>309</v>
      </c>
      <c r="I67" s="485" t="s">
        <v>397</v>
      </c>
    </row>
    <row r="68" spans="2:9" x14ac:dyDescent="0.3">
      <c r="B68" s="353"/>
      <c r="C68" s="357"/>
      <c r="D68" s="486"/>
      <c r="E68" s="488"/>
      <c r="F68" s="486"/>
      <c r="G68" s="486"/>
      <c r="H68" s="486"/>
      <c r="I68" s="486"/>
    </row>
    <row r="69" spans="2:9" ht="27.6" x14ac:dyDescent="0.3">
      <c r="B69" s="353"/>
      <c r="C69" s="357"/>
      <c r="D69" s="405" t="s">
        <v>398</v>
      </c>
      <c r="E69" s="401" t="s">
        <v>399</v>
      </c>
      <c r="F69" s="405" t="s">
        <v>408</v>
      </c>
      <c r="G69" s="486"/>
      <c r="H69" s="486"/>
      <c r="I69" s="486"/>
    </row>
    <row r="70" spans="2:9" x14ac:dyDescent="0.3">
      <c r="B70" s="353"/>
      <c r="C70" s="357"/>
      <c r="D70" s="354" t="s">
        <v>310</v>
      </c>
      <c r="E70" s="355" t="s">
        <v>310</v>
      </c>
      <c r="F70" s="354" t="s">
        <v>310</v>
      </c>
      <c r="G70" s="354"/>
      <c r="H70" s="354" t="s">
        <v>310</v>
      </c>
      <c r="I70" s="354" t="s">
        <v>310</v>
      </c>
    </row>
    <row r="71" spans="2:9" ht="27.6" x14ac:dyDescent="0.3">
      <c r="B71" s="360">
        <v>8</v>
      </c>
      <c r="C71" s="363" t="s">
        <v>401</v>
      </c>
      <c r="D71" s="110">
        <v>1920</v>
      </c>
      <c r="E71" s="364">
        <v>1960</v>
      </c>
      <c r="F71" s="110">
        <v>2044</v>
      </c>
      <c r="G71" s="110">
        <v>6</v>
      </c>
      <c r="H71" s="365">
        <v>1960</v>
      </c>
      <c r="I71" s="365">
        <f>H71/G71</f>
        <v>326.66666666666669</v>
      </c>
    </row>
    <row r="72" spans="2:9" x14ac:dyDescent="0.3">
      <c r="B72" s="360"/>
      <c r="C72" s="363"/>
      <c r="D72" s="110"/>
      <c r="E72" s="364"/>
      <c r="F72" s="110"/>
      <c r="G72" s="110"/>
      <c r="H72" s="365"/>
      <c r="I72" s="365"/>
    </row>
    <row r="73" spans="2:9" x14ac:dyDescent="0.3">
      <c r="B73" s="353"/>
      <c r="C73" s="357"/>
      <c r="D73" s="353"/>
      <c r="E73" s="359"/>
      <c r="F73" s="353"/>
      <c r="G73" s="353"/>
      <c r="H73" s="353"/>
      <c r="I73" s="353"/>
    </row>
    <row r="79" spans="2:9" x14ac:dyDescent="0.3">
      <c r="B79" s="179" t="str">
        <f>'[1]PLANILHA ORÇAMENTÁRIA'!B106</f>
        <v>CLIFFORD PETERLE REZENDE</v>
      </c>
    </row>
    <row r="80" spans="2:9" x14ac:dyDescent="0.3">
      <c r="B80" s="179" t="str">
        <f>'[1]PLANILHA ORÇAMENTÁRIA'!B107</f>
        <v>ENGENHEIRO CIVIL - CREAMG Nº56.477/D</v>
      </c>
      <c r="F80" s="179" t="str">
        <f>'[1]PLANILHA ORÇAMENTÁRIA'!D106</f>
        <v>RICARDO MARCELO PIRES DE OLIVEIRA</v>
      </c>
    </row>
    <row r="81" spans="2:6" x14ac:dyDescent="0.3">
      <c r="B81" s="179" t="str">
        <f>'[1]PLANILHA ORÇAMENTÁRIA'!B108</f>
        <v>R. T. MUNICÍPO DE IBERTIOGA-MG</v>
      </c>
      <c r="F81" s="179" t="str">
        <f>'[1]PLANILHA ORÇAMENTÁRIA'!D107</f>
        <v>PREFEITO MUNICIPAL DE IBERTIOGA-MG</v>
      </c>
    </row>
  </sheetData>
  <sheetProtection algorithmName="SHA-512" hashValue="ZSq0smDSPAztKbWKpptXambd9QJXWRX7OTDfOx2wtgPEOQe/mNyJMd5skcI6prxmBOURzUMebB015SB6nZPK6w==" saltValue="kvvXP8C3wWy2D5bF7XbYZQ==" spinCount="100000" sheet="1" objects="1" scenarios="1"/>
  <mergeCells count="51">
    <mergeCell ref="I67:I69"/>
    <mergeCell ref="D67:D68"/>
    <mergeCell ref="E67:E68"/>
    <mergeCell ref="F67:F68"/>
    <mergeCell ref="G67:G69"/>
    <mergeCell ref="H67:H69"/>
    <mergeCell ref="H53:H55"/>
    <mergeCell ref="I53:I55"/>
    <mergeCell ref="D60:D61"/>
    <mergeCell ref="E60:E61"/>
    <mergeCell ref="F60:F61"/>
    <mergeCell ref="G60:G62"/>
    <mergeCell ref="H60:H62"/>
    <mergeCell ref="I60:I62"/>
    <mergeCell ref="D53:D54"/>
    <mergeCell ref="E53:E54"/>
    <mergeCell ref="F53:F54"/>
    <mergeCell ref="G53:G55"/>
    <mergeCell ref="I39:I41"/>
    <mergeCell ref="D46:D47"/>
    <mergeCell ref="E46:E47"/>
    <mergeCell ref="F46:F47"/>
    <mergeCell ref="G46:G48"/>
    <mergeCell ref="H46:H48"/>
    <mergeCell ref="I46:I48"/>
    <mergeCell ref="D39:D40"/>
    <mergeCell ref="E39:E40"/>
    <mergeCell ref="F39:F40"/>
    <mergeCell ref="G39:G41"/>
    <mergeCell ref="H39:H41"/>
    <mergeCell ref="H17:H19"/>
    <mergeCell ref="D17:D18"/>
    <mergeCell ref="E17:E18"/>
    <mergeCell ref="F17:F18"/>
    <mergeCell ref="G17:G19"/>
    <mergeCell ref="A7:J7"/>
    <mergeCell ref="D32:D33"/>
    <mergeCell ref="E32:E33"/>
    <mergeCell ref="F32:F33"/>
    <mergeCell ref="G32:G34"/>
    <mergeCell ref="H32:H34"/>
    <mergeCell ref="I32:I34"/>
    <mergeCell ref="D25:D26"/>
    <mergeCell ref="E25:E26"/>
    <mergeCell ref="F25:F26"/>
    <mergeCell ref="G25:G27"/>
    <mergeCell ref="H25:H27"/>
    <mergeCell ref="I17:I19"/>
    <mergeCell ref="I25:I27"/>
    <mergeCell ref="C17:C20"/>
    <mergeCell ref="B17:B20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4E188-AEA1-4250-AC00-9A1DD535F528}">
  <dimension ref="A8:L61"/>
  <sheetViews>
    <sheetView workbookViewId="0">
      <selection activeCell="E20" sqref="E20"/>
    </sheetView>
  </sheetViews>
  <sheetFormatPr defaultRowHeight="13.8" x14ac:dyDescent="0.3"/>
  <cols>
    <col min="1" max="2" width="8.88671875" style="179"/>
    <col min="3" max="3" width="10.33203125" style="179" bestFit="1" customWidth="1"/>
    <col min="4" max="4" width="8.88671875" style="179"/>
    <col min="5" max="5" width="82" style="179" bestFit="1" customWidth="1"/>
    <col min="6" max="6" width="6.77734375" style="179" customWidth="1"/>
    <col min="7" max="7" width="11.5546875" style="179" bestFit="1" customWidth="1"/>
    <col min="8" max="8" width="10.44140625" style="179" customWidth="1"/>
    <col min="9" max="9" width="8.88671875" style="179"/>
    <col min="10" max="10" width="9.109375" style="179" bestFit="1" customWidth="1"/>
    <col min="11" max="11" width="9.5546875" style="179" bestFit="1" customWidth="1"/>
    <col min="12" max="16384" width="8.88671875" style="179"/>
  </cols>
  <sheetData>
    <row r="8" spans="1:12" ht="23.4" x14ac:dyDescent="0.45">
      <c r="A8" s="484" t="s">
        <v>326</v>
      </c>
      <c r="B8" s="484"/>
      <c r="C8" s="484"/>
      <c r="D8" s="484"/>
      <c r="E8" s="484"/>
      <c r="F8" s="484"/>
      <c r="G8" s="484"/>
      <c r="H8" s="484"/>
      <c r="I8" s="484"/>
      <c r="J8" s="484"/>
      <c r="K8" s="392"/>
      <c r="L8" s="392"/>
    </row>
    <row r="10" spans="1:12" x14ac:dyDescent="0.3">
      <c r="B10" s="179" t="str">
        <f>'PLANILHA ORÇAMENTÁRIA'!A4</f>
        <v>CONTRATANTE: MUNICÍPIO DE IBERTIOGA-MG.</v>
      </c>
    </row>
    <row r="11" spans="1:12" x14ac:dyDescent="0.3">
      <c r="B11" s="179" t="str">
        <f>'PLANILHA ORÇAMENTÁRIA'!A5</f>
        <v>OBRA: IMPLANTAÇÃO DE SISTEMAS SIMPLIFICADOS DE ABASTACIMENTO DE ÁGUA - 04 (QUATRO) POÇOS TUBULARES PROFUNDOS.</v>
      </c>
    </row>
    <row r="12" spans="1:12" x14ac:dyDescent="0.3">
      <c r="B12" s="179" t="str">
        <f>'PLANILHA ORÇAMENTÁRIA'!A6</f>
        <v>LOCALIDADES: 1 - ESTRADA DE ACESSO - COMUNIDADE AGUADA; 2 - COMUNIDADE CAPOEIRAS; 3 - COMUNIDADE FLORENÇA; E 4 - COMUNIDADE DE PORTEIRINHAS (1ª ETAPA) - ZONA RURAL - IBERTIOGA-MG</v>
      </c>
    </row>
    <row r="13" spans="1:12" x14ac:dyDescent="0.3">
      <c r="B13" s="179" t="str">
        <f>'PLANILHA ORÇAMENTÁRIA'!H4</f>
        <v>DATA:  12/09/2024</v>
      </c>
    </row>
    <row r="15" spans="1:12" x14ac:dyDescent="0.3">
      <c r="B15" s="179" t="str">
        <f>'PLANILHA ORÇAMENTÁRIA'!A7</f>
        <v>REFERÊNCIAS: PLANILHA DE PREÇOS DA COPASA SUDESDE (07/2024) / SEINFRA LESTE (04/2024) / SINAPI MG (06/2024) - TODAS COM DESONERAÇÃO; E COTAÇÕES DE MERCADO.</v>
      </c>
    </row>
    <row r="17" spans="2:9" x14ac:dyDescent="0.3">
      <c r="B17" s="384" t="s">
        <v>39</v>
      </c>
      <c r="C17" s="384" t="s">
        <v>110</v>
      </c>
      <c r="D17" s="384" t="s">
        <v>204</v>
      </c>
      <c r="E17" s="384" t="s">
        <v>328</v>
      </c>
      <c r="F17" s="384" t="s">
        <v>105</v>
      </c>
      <c r="G17" s="384" t="s">
        <v>330</v>
      </c>
      <c r="H17" s="384" t="s">
        <v>331</v>
      </c>
      <c r="I17" s="384" t="s">
        <v>332</v>
      </c>
    </row>
    <row r="18" spans="2:9" x14ac:dyDescent="0.3">
      <c r="B18" s="353"/>
      <c r="C18" s="353"/>
      <c r="D18" s="353"/>
      <c r="E18" s="353"/>
      <c r="F18" s="353"/>
      <c r="G18" s="353"/>
      <c r="H18" s="353"/>
      <c r="I18" s="353"/>
    </row>
    <row r="19" spans="2:9" ht="40.799999999999997" customHeight="1" x14ac:dyDescent="0.3">
      <c r="B19" s="360">
        <v>1</v>
      </c>
      <c r="C19" s="384"/>
      <c r="D19" s="384"/>
      <c r="E19" s="385" t="str">
        <f>'PLANILHA ORÇAMENTÁRIA'!C63</f>
        <v>FORNECIMENTO E ASSENTAMENTO DE CABOS DE COBRE BIPOLAR PP 2X2,50MM², PROTEÇÃO 1000V, LANÇADOS EM ELETRODUTOS CORRUGADOS EM PEAD 1/2", JUNTO AAB PARA AUTOMATIZAÇÃO ATRAVÉS DE BOIAS DE NÍVEL INSTALADAS NO RESERVATÓRIO.</v>
      </c>
      <c r="F19" s="360" t="s">
        <v>27</v>
      </c>
      <c r="G19" s="376"/>
      <c r="H19" s="376"/>
      <c r="I19" s="386">
        <f>SUM(I21:I25)</f>
        <v>8.7944235000000006</v>
      </c>
    </row>
    <row r="20" spans="2:9" x14ac:dyDescent="0.3">
      <c r="B20" s="353"/>
      <c r="C20" s="353"/>
      <c r="D20" s="353"/>
      <c r="E20" s="353"/>
      <c r="F20" s="384"/>
      <c r="G20" s="353"/>
      <c r="H20" s="353"/>
      <c r="I20" s="353"/>
    </row>
    <row r="21" spans="2:9" x14ac:dyDescent="0.3">
      <c r="B21" s="384" t="s">
        <v>334</v>
      </c>
      <c r="C21" s="384" t="s">
        <v>108</v>
      </c>
      <c r="D21" s="384">
        <f>'COTAÇÕES DE PREÇOS'!B22</f>
        <v>1</v>
      </c>
      <c r="E21" s="353" t="str">
        <f>'COTAÇÕES DE PREÇOS'!C22</f>
        <v>ELETRODUTO CORRUGADO EM PEAD 1/2" - 50,00M</v>
      </c>
      <c r="F21" s="384" t="s">
        <v>27</v>
      </c>
      <c r="G21" s="100">
        <v>1</v>
      </c>
      <c r="H21" s="100">
        <f>'COTAÇÕES DE PREÇOS'!I22</f>
        <v>1.0900000000000001</v>
      </c>
      <c r="I21" s="387">
        <f>G21*H21</f>
        <v>1.0900000000000001</v>
      </c>
    </row>
    <row r="22" spans="2:9" x14ac:dyDescent="0.3">
      <c r="B22" s="384" t="s">
        <v>335</v>
      </c>
      <c r="C22" s="384" t="s">
        <v>108</v>
      </c>
      <c r="D22" s="384">
        <f>'COTAÇÕES DE PREÇOS'!B29</f>
        <v>2</v>
      </c>
      <c r="E22" s="353" t="str">
        <f>'COTAÇÕES DE PREÇOS'!C29</f>
        <v>CABO DE COBRE BIPOLAR PP 2X2.50MM2 - 100,00M</v>
      </c>
      <c r="F22" s="384" t="s">
        <v>27</v>
      </c>
      <c r="G22" s="388">
        <v>1.2434000000000001</v>
      </c>
      <c r="H22" s="100">
        <f>'COTAÇÕES DE PREÇOS'!I29</f>
        <v>2.5775000000000001</v>
      </c>
      <c r="I22" s="387">
        <f>G22*H22</f>
        <v>3.2048635000000005</v>
      </c>
    </row>
    <row r="23" spans="2:9" x14ac:dyDescent="0.3">
      <c r="B23" s="384" t="s">
        <v>337</v>
      </c>
      <c r="C23" s="384" t="s">
        <v>339</v>
      </c>
      <c r="D23" s="384">
        <v>21127</v>
      </c>
      <c r="E23" s="353" t="s">
        <v>341</v>
      </c>
      <c r="F23" s="384" t="s">
        <v>105</v>
      </c>
      <c r="G23" s="388">
        <v>9.4000000000000004E-3</v>
      </c>
      <c r="H23" s="100">
        <v>3.51</v>
      </c>
      <c r="I23" s="387">
        <f t="shared" ref="I23:I25" si="0">G23*H23</f>
        <v>3.2994000000000002E-2</v>
      </c>
    </row>
    <row r="24" spans="2:9" x14ac:dyDescent="0.3">
      <c r="B24" s="384" t="s">
        <v>338</v>
      </c>
      <c r="C24" s="384" t="s">
        <v>339</v>
      </c>
      <c r="D24" s="384">
        <v>88247</v>
      </c>
      <c r="E24" s="353" t="s">
        <v>342</v>
      </c>
      <c r="F24" s="384" t="s">
        <v>344</v>
      </c>
      <c r="G24" s="388">
        <f>0.0672+0.029</f>
        <v>9.6199999999999994E-2</v>
      </c>
      <c r="H24" s="100">
        <v>20.82</v>
      </c>
      <c r="I24" s="387">
        <f t="shared" si="0"/>
        <v>2.0028839999999999</v>
      </c>
    </row>
    <row r="25" spans="2:9" x14ac:dyDescent="0.3">
      <c r="B25" s="384" t="s">
        <v>340</v>
      </c>
      <c r="C25" s="384" t="s">
        <v>339</v>
      </c>
      <c r="D25" s="384">
        <v>88264</v>
      </c>
      <c r="E25" s="353" t="s">
        <v>343</v>
      </c>
      <c r="F25" s="384" t="s">
        <v>344</v>
      </c>
      <c r="G25" s="388">
        <f>0.0672+0.029</f>
        <v>9.6199999999999994E-2</v>
      </c>
      <c r="H25" s="100">
        <v>25.61</v>
      </c>
      <c r="I25" s="387">
        <f t="shared" si="0"/>
        <v>2.4636819999999999</v>
      </c>
    </row>
    <row r="26" spans="2:9" x14ac:dyDescent="0.3">
      <c r="B26" s="353"/>
      <c r="C26" s="353"/>
      <c r="D26" s="353"/>
      <c r="E26" s="353"/>
      <c r="F26" s="353"/>
      <c r="G26" s="353"/>
      <c r="H26" s="100"/>
      <c r="I26" s="353"/>
    </row>
    <row r="27" spans="2:9" x14ac:dyDescent="0.3">
      <c r="B27" s="353"/>
      <c r="C27" s="353"/>
      <c r="D27" s="353"/>
      <c r="E27" s="353"/>
      <c r="F27" s="353"/>
      <c r="G27" s="353"/>
      <c r="H27" s="100"/>
      <c r="I27" s="353"/>
    </row>
    <row r="28" spans="2:9" x14ac:dyDescent="0.3">
      <c r="B28" s="360">
        <v>2</v>
      </c>
      <c r="C28" s="384"/>
      <c r="D28" s="384"/>
      <c r="E28" s="385" t="str">
        <f>'PLANILHA ORÇAMENTÁRIA'!C64</f>
        <v>FORNECIMENTO E INSTALAÇÃO DE BOIA ELÉTRICA AUTOMÁTICA DE NÍVEL - 25A</v>
      </c>
      <c r="F28" s="360" t="s">
        <v>105</v>
      </c>
      <c r="G28" s="376"/>
      <c r="H28" s="250"/>
      <c r="I28" s="386">
        <f>SUM(I30:I32)</f>
        <v>67.625730000000004</v>
      </c>
    </row>
    <row r="29" spans="2:9" x14ac:dyDescent="0.3">
      <c r="B29" s="353"/>
      <c r="C29" s="353"/>
      <c r="D29" s="353"/>
      <c r="E29" s="353"/>
      <c r="F29" s="384"/>
      <c r="G29" s="353"/>
      <c r="H29" s="100"/>
      <c r="I29" s="353"/>
    </row>
    <row r="30" spans="2:9" x14ac:dyDescent="0.3">
      <c r="B30" s="384" t="s">
        <v>348</v>
      </c>
      <c r="C30" s="384" t="s">
        <v>108</v>
      </c>
      <c r="D30" s="384">
        <f>'COTAÇÕES DE PREÇOS'!B36</f>
        <v>3</v>
      </c>
      <c r="E30" s="353" t="str">
        <f>'COTAÇÕES DE PREÇOS'!C36</f>
        <v>BOIA ELÉTRICA AUTOMÁTICA DE NÍVEL - 25A</v>
      </c>
      <c r="F30" s="384" t="s">
        <v>105</v>
      </c>
      <c r="G30" s="100">
        <v>1</v>
      </c>
      <c r="H30" s="100">
        <f>'COTAÇÕES DE PREÇOS'!I36</f>
        <v>43.9</v>
      </c>
      <c r="I30" s="387">
        <f>G30*H30</f>
        <v>43.9</v>
      </c>
    </row>
    <row r="31" spans="2:9" x14ac:dyDescent="0.3">
      <c r="B31" s="384" t="s">
        <v>349</v>
      </c>
      <c r="C31" s="384" t="s">
        <v>339</v>
      </c>
      <c r="D31" s="384">
        <v>88247</v>
      </c>
      <c r="E31" s="353" t="s">
        <v>342</v>
      </c>
      <c r="F31" s="384" t="s">
        <v>344</v>
      </c>
      <c r="G31" s="388">
        <v>0.51100000000000001</v>
      </c>
      <c r="H31" s="100">
        <v>20.82</v>
      </c>
      <c r="I31" s="387">
        <f t="shared" ref="I31:I32" si="1">G31*H31</f>
        <v>10.63902</v>
      </c>
    </row>
    <row r="32" spans="2:9" x14ac:dyDescent="0.3">
      <c r="B32" s="384" t="s">
        <v>350</v>
      </c>
      <c r="C32" s="384" t="s">
        <v>339</v>
      </c>
      <c r="D32" s="384">
        <v>88264</v>
      </c>
      <c r="E32" s="353" t="s">
        <v>343</v>
      </c>
      <c r="F32" s="384" t="s">
        <v>344</v>
      </c>
      <c r="G32" s="388">
        <v>0.51100000000000001</v>
      </c>
      <c r="H32" s="100">
        <v>25.61</v>
      </c>
      <c r="I32" s="387">
        <f t="shared" si="1"/>
        <v>13.08671</v>
      </c>
    </row>
    <row r="33" spans="2:9" x14ac:dyDescent="0.3">
      <c r="B33" s="353"/>
      <c r="C33" s="353"/>
      <c r="D33" s="353"/>
      <c r="E33" s="353"/>
      <c r="F33" s="353"/>
      <c r="G33" s="353"/>
      <c r="H33" s="353"/>
      <c r="I33" s="353"/>
    </row>
    <row r="34" spans="2:9" x14ac:dyDescent="0.3">
      <c r="B34" s="353"/>
      <c r="C34" s="353"/>
      <c r="D34" s="353"/>
      <c r="E34" s="353"/>
      <c r="F34" s="353"/>
      <c r="G34" s="353"/>
      <c r="H34" s="353"/>
      <c r="I34" s="353"/>
    </row>
    <row r="35" spans="2:9" ht="27.6" x14ac:dyDescent="0.3">
      <c r="B35" s="360">
        <v>3</v>
      </c>
      <c r="C35" s="384"/>
      <c r="D35" s="384"/>
      <c r="E35" s="385" t="str">
        <f>'PLANILHA ORÇAMENTÁRIA'!C50</f>
        <v>FORNECIMENTO E INSTALAÇÃO DE MOTOBOMBA SUBMERSA DE 4", MONOFÁSICA, 3 FIOS, 230 V, SUB ROTOR FECHADO DE 5CV - SUB25-50S4E23 - MODELO SHINDLER OU SIMILAR</v>
      </c>
      <c r="F35" s="360" t="s">
        <v>105</v>
      </c>
      <c r="G35" s="376"/>
      <c r="H35" s="250"/>
      <c r="I35" s="386">
        <f>SUM(I37:I39)</f>
        <v>5688.3449999999993</v>
      </c>
    </row>
    <row r="36" spans="2:9" x14ac:dyDescent="0.3">
      <c r="B36" s="353"/>
      <c r="C36" s="353"/>
      <c r="D36" s="353"/>
      <c r="E36" s="353"/>
      <c r="F36" s="384"/>
      <c r="G36" s="353"/>
      <c r="H36" s="100"/>
      <c r="I36" s="353"/>
    </row>
    <row r="37" spans="2:9" ht="27.6" x14ac:dyDescent="0.3">
      <c r="B37" s="376" t="s">
        <v>359</v>
      </c>
      <c r="C37" s="376" t="s">
        <v>108</v>
      </c>
      <c r="D37" s="376">
        <f>'COTAÇÕES DE PREÇOS'!B43</f>
        <v>4</v>
      </c>
      <c r="E37" s="389" t="str">
        <f>'COTAÇÕES DE PREÇOS'!C43</f>
        <v>MOTOBOMBA SUBMERSA DE 4", MONOFÁSICA, 3 FIOS, 230 V, SUB ROTOR FECHADO DE 5CV - SUB25-50S4E23</v>
      </c>
      <c r="F37" s="376" t="s">
        <v>105</v>
      </c>
      <c r="G37" s="110">
        <v>1</v>
      </c>
      <c r="H37" s="110">
        <f>'COTAÇÕES DE PREÇOS'!I43</f>
        <v>5618.7</v>
      </c>
      <c r="I37" s="390">
        <f>G37*H37</f>
        <v>5618.7</v>
      </c>
    </row>
    <row r="38" spans="2:9" x14ac:dyDescent="0.3">
      <c r="B38" s="384" t="s">
        <v>360</v>
      </c>
      <c r="C38" s="384" t="s">
        <v>339</v>
      </c>
      <c r="D38" s="384">
        <v>88247</v>
      </c>
      <c r="E38" s="353" t="s">
        <v>342</v>
      </c>
      <c r="F38" s="384" t="s">
        <v>344</v>
      </c>
      <c r="G38" s="388">
        <v>1.5</v>
      </c>
      <c r="H38" s="100">
        <v>20.82</v>
      </c>
      <c r="I38" s="387">
        <f t="shared" ref="I38:I39" si="2">G38*H38</f>
        <v>31.23</v>
      </c>
    </row>
    <row r="39" spans="2:9" x14ac:dyDescent="0.3">
      <c r="B39" s="384" t="s">
        <v>361</v>
      </c>
      <c r="C39" s="384" t="s">
        <v>339</v>
      </c>
      <c r="D39" s="384">
        <v>88264</v>
      </c>
      <c r="E39" s="353" t="s">
        <v>343</v>
      </c>
      <c r="F39" s="384" t="s">
        <v>344</v>
      </c>
      <c r="G39" s="388">
        <v>1.5</v>
      </c>
      <c r="H39" s="100">
        <v>25.61</v>
      </c>
      <c r="I39" s="387">
        <f t="shared" si="2"/>
        <v>38.414999999999999</v>
      </c>
    </row>
    <row r="40" spans="2:9" x14ac:dyDescent="0.3">
      <c r="B40" s="384"/>
      <c r="C40" s="384"/>
      <c r="D40" s="384"/>
      <c r="E40" s="353"/>
      <c r="F40" s="384"/>
      <c r="G40" s="388"/>
      <c r="H40" s="100"/>
      <c r="I40" s="387"/>
    </row>
    <row r="41" spans="2:9" x14ac:dyDescent="0.3">
      <c r="B41" s="384"/>
      <c r="C41" s="384"/>
      <c r="D41" s="384"/>
      <c r="E41" s="353"/>
      <c r="F41" s="384"/>
      <c r="G41" s="388"/>
      <c r="H41" s="100"/>
      <c r="I41" s="387"/>
    </row>
    <row r="42" spans="2:9" ht="27.6" x14ac:dyDescent="0.3">
      <c r="B42" s="360">
        <v>4</v>
      </c>
      <c r="C42" s="384"/>
      <c r="D42" s="384"/>
      <c r="E42" s="385" t="str">
        <f>'PLANILHA ORÇAMENTÁRIA'!C52</f>
        <v>FORNECIMENTO E INSTALAÇÃO DO QUADRO DE COMANDO E PROTEÇÃO COMPLETO PARA MOTOR 220V MONOFÁSICO, POTÊNCIA DE 5,00 C.V.</v>
      </c>
      <c r="F42" s="360" t="s">
        <v>105</v>
      </c>
      <c r="G42" s="376"/>
      <c r="H42" s="250"/>
      <c r="I42" s="386">
        <f>SUM(I44:I46)</f>
        <v>1183.72</v>
      </c>
    </row>
    <row r="43" spans="2:9" x14ac:dyDescent="0.3">
      <c r="B43" s="353"/>
      <c r="C43" s="353"/>
      <c r="D43" s="353"/>
      <c r="E43" s="353"/>
      <c r="F43" s="384"/>
      <c r="G43" s="353"/>
      <c r="H43" s="100"/>
      <c r="I43" s="353"/>
    </row>
    <row r="44" spans="2:9" x14ac:dyDescent="0.3">
      <c r="B44" s="376" t="s">
        <v>363</v>
      </c>
      <c r="C44" s="376" t="s">
        <v>108</v>
      </c>
      <c r="D44" s="376">
        <f>'COTAÇÕES DE PREÇOS'!B50</f>
        <v>5</v>
      </c>
      <c r="E44" s="389" t="str">
        <f>'COTAÇÕES DE PREÇOS'!C50</f>
        <v>QUADRO DE COMANDO E PROTEÇÃO COMPLETO DE 5CV 220V MONOFÁSICO</v>
      </c>
      <c r="F44" s="376" t="s">
        <v>105</v>
      </c>
      <c r="G44" s="110">
        <v>1</v>
      </c>
      <c r="H44" s="110">
        <f>'COTAÇÕES DE PREÇOS'!I50</f>
        <v>998</v>
      </c>
      <c r="I44" s="390">
        <f>G44*H44</f>
        <v>998</v>
      </c>
    </row>
    <row r="45" spans="2:9" x14ac:dyDescent="0.3">
      <c r="B45" s="376" t="s">
        <v>366</v>
      </c>
      <c r="C45" s="384" t="s">
        <v>339</v>
      </c>
      <c r="D45" s="384">
        <v>88247</v>
      </c>
      <c r="E45" s="353" t="s">
        <v>342</v>
      </c>
      <c r="F45" s="384" t="s">
        <v>344</v>
      </c>
      <c r="G45" s="388">
        <v>4</v>
      </c>
      <c r="H45" s="100">
        <v>20.82</v>
      </c>
      <c r="I45" s="387">
        <f t="shared" ref="I45:I46" si="3">G45*H45</f>
        <v>83.28</v>
      </c>
    </row>
    <row r="46" spans="2:9" x14ac:dyDescent="0.3">
      <c r="B46" s="376" t="s">
        <v>367</v>
      </c>
      <c r="C46" s="384" t="s">
        <v>339</v>
      </c>
      <c r="D46" s="384">
        <v>88264</v>
      </c>
      <c r="E46" s="353" t="s">
        <v>343</v>
      </c>
      <c r="F46" s="384" t="s">
        <v>344</v>
      </c>
      <c r="G46" s="388">
        <v>4</v>
      </c>
      <c r="H46" s="100">
        <v>25.61</v>
      </c>
      <c r="I46" s="387">
        <f t="shared" si="3"/>
        <v>102.44</v>
      </c>
    </row>
    <row r="47" spans="2:9" x14ac:dyDescent="0.3">
      <c r="B47" s="384"/>
      <c r="C47" s="384"/>
      <c r="D47" s="384"/>
      <c r="E47" s="353"/>
      <c r="F47" s="384"/>
      <c r="G47" s="388"/>
      <c r="H47" s="100"/>
      <c r="I47" s="387"/>
    </row>
    <row r="48" spans="2:9" x14ac:dyDescent="0.3">
      <c r="B48" s="384"/>
      <c r="C48" s="384"/>
      <c r="D48" s="384"/>
      <c r="E48" s="353"/>
      <c r="F48" s="384"/>
      <c r="G48" s="388"/>
      <c r="H48" s="100"/>
      <c r="I48" s="387"/>
    </row>
    <row r="49" spans="2:9" ht="27.6" x14ac:dyDescent="0.3">
      <c r="B49" s="360">
        <v>5</v>
      </c>
      <c r="C49" s="384"/>
      <c r="D49" s="384"/>
      <c r="E49" s="385" t="str">
        <f>'PLANILHA ORÇAMENTÁRIA'!C68</f>
        <v>FORNECIMENTO E MONTAGEM DE CLORADOR DE PASTILHAS, TIPO KIT CLOR OU SIMILAR, INCLUSIVE TEST CLORD. E PASTILHAS DE CLORO.</v>
      </c>
      <c r="F49" s="360" t="s">
        <v>105</v>
      </c>
      <c r="G49" s="376"/>
      <c r="H49" s="250"/>
      <c r="I49" s="386">
        <f>SUM(I51:I53)</f>
        <v>465.48</v>
      </c>
    </row>
    <row r="50" spans="2:9" x14ac:dyDescent="0.3">
      <c r="B50" s="353"/>
      <c r="C50" s="353"/>
      <c r="D50" s="353"/>
      <c r="E50" s="353"/>
      <c r="F50" s="384"/>
      <c r="G50" s="353"/>
      <c r="H50" s="100"/>
      <c r="I50" s="353"/>
    </row>
    <row r="51" spans="2:9" x14ac:dyDescent="0.3">
      <c r="B51" s="376" t="s">
        <v>385</v>
      </c>
      <c r="C51" s="376" t="s">
        <v>108</v>
      </c>
      <c r="D51" s="376">
        <f>'COTAÇÕES DE PREÇOS'!B57</f>
        <v>6</v>
      </c>
      <c r="E51" s="389" t="str">
        <f>'COTAÇÕES DE PREÇOS'!C57</f>
        <v>CLORADOR DE PASTILHAS, TIPO KIT CLOR OU SIMILAR, INCLUSIVE TEST CLORD. E PASTILHAS DE CLORO</v>
      </c>
      <c r="F51" s="376" t="s">
        <v>105</v>
      </c>
      <c r="G51" s="110">
        <v>1</v>
      </c>
      <c r="H51" s="110">
        <f>'COTAÇÕES DE PREÇOS'!I57</f>
        <v>329</v>
      </c>
      <c r="I51" s="390">
        <f>G51*H51</f>
        <v>329</v>
      </c>
    </row>
    <row r="52" spans="2:9" x14ac:dyDescent="0.3">
      <c r="B52" s="376" t="s">
        <v>386</v>
      </c>
      <c r="C52" s="384" t="s">
        <v>339</v>
      </c>
      <c r="D52" s="384">
        <v>88248</v>
      </c>
      <c r="E52" s="391" t="s">
        <v>388</v>
      </c>
      <c r="F52" s="384" t="s">
        <v>344</v>
      </c>
      <c r="G52" s="388">
        <v>2</v>
      </c>
      <c r="H52" s="100">
        <v>19.82</v>
      </c>
      <c r="I52" s="387">
        <f t="shared" ref="I52:I53" si="4">G52*H52</f>
        <v>39.64</v>
      </c>
    </row>
    <row r="53" spans="2:9" x14ac:dyDescent="0.3">
      <c r="B53" s="376" t="s">
        <v>387</v>
      </c>
      <c r="C53" s="384" t="s">
        <v>339</v>
      </c>
      <c r="D53" s="384">
        <v>88267</v>
      </c>
      <c r="E53" s="353" t="s">
        <v>389</v>
      </c>
      <c r="F53" s="384" t="s">
        <v>344</v>
      </c>
      <c r="G53" s="388">
        <v>4</v>
      </c>
      <c r="H53" s="100">
        <v>24.21</v>
      </c>
      <c r="I53" s="387">
        <f t="shared" si="4"/>
        <v>96.84</v>
      </c>
    </row>
    <row r="54" spans="2:9" x14ac:dyDescent="0.3">
      <c r="B54" s="384"/>
      <c r="C54" s="384"/>
      <c r="D54" s="384"/>
      <c r="E54" s="353"/>
      <c r="F54" s="384"/>
      <c r="G54" s="388"/>
      <c r="H54" s="100"/>
      <c r="I54" s="387"/>
    </row>
    <row r="55" spans="2:9" x14ac:dyDescent="0.3">
      <c r="B55" s="71"/>
      <c r="C55" s="71"/>
      <c r="D55" s="71"/>
      <c r="F55" s="71"/>
      <c r="G55" s="367"/>
      <c r="H55" s="99"/>
      <c r="I55" s="366"/>
    </row>
    <row r="56" spans="2:9" x14ac:dyDescent="0.3">
      <c r="B56" s="71"/>
      <c r="C56" s="71"/>
      <c r="D56" s="71"/>
      <c r="F56" s="71"/>
      <c r="G56" s="367"/>
      <c r="H56" s="99"/>
      <c r="I56" s="366"/>
    </row>
    <row r="57" spans="2:9" x14ac:dyDescent="0.3">
      <c r="B57" s="71"/>
      <c r="C57" s="71"/>
      <c r="D57" s="71"/>
      <c r="F57" s="71"/>
      <c r="G57" s="367"/>
      <c r="H57" s="99"/>
      <c r="I57" s="366"/>
    </row>
    <row r="58" spans="2:9" x14ac:dyDescent="0.3">
      <c r="B58" s="71"/>
      <c r="C58" s="71"/>
      <c r="D58" s="71"/>
      <c r="F58" s="71"/>
      <c r="G58" s="367"/>
      <c r="H58" s="99"/>
      <c r="I58" s="366"/>
    </row>
    <row r="59" spans="2:9" x14ac:dyDescent="0.3">
      <c r="B59" s="179" t="str">
        <f>'PLANILHA ORÇAMENTÁRIA'!B104</f>
        <v>XXXXXXXXXXXXXXX</v>
      </c>
    </row>
    <row r="60" spans="2:9" x14ac:dyDescent="0.3">
      <c r="B60" s="179" t="str">
        <f>'PLANILHA ORÇAMENTÁRIA'!B105</f>
        <v>ENGENHEIRO CIVIL - CREAMG NºXXXXXXXXXXXXXXX</v>
      </c>
      <c r="F60" s="179" t="str">
        <f>'PLANILHA ORÇAMENTÁRIA'!D104</f>
        <v>XXXXXXXXXXXXXX</v>
      </c>
    </row>
    <row r="61" spans="2:9" x14ac:dyDescent="0.3">
      <c r="B61" s="179" t="str">
        <f>'PLANILHA ORÇAMENTÁRIA'!B106</f>
        <v>R. T. LICITANTE</v>
      </c>
      <c r="F61" s="179" t="str">
        <f>'PLANILHA ORÇAMENTÁRIA'!D105</f>
        <v>REPRESENTANTE LEGAL LICITANTE</v>
      </c>
    </row>
  </sheetData>
  <sheetProtection algorithmName="SHA-512" hashValue="GyUqKonJhNl2P+wDEBNAXnZESICAazfWY+b1jo7s3RNab02JXm7QHcBb58mvQCDhd5NnDagW5T8AH3O2vmhPCQ==" saltValue="//DfAF5PXDLflFbWpeRfjA==" spinCount="100000" sheet="1" objects="1" scenarios="1"/>
  <mergeCells count="1">
    <mergeCell ref="A8:J8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75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B35-1418-4030-A98E-420DA9B14A8D}">
  <dimension ref="A10:Q154"/>
  <sheetViews>
    <sheetView topLeftCell="A133" workbookViewId="0">
      <selection activeCell="Q19" sqref="Q19"/>
    </sheetView>
  </sheetViews>
  <sheetFormatPr defaultRowHeight="13.2" x14ac:dyDescent="0.25"/>
  <cols>
    <col min="2" max="2" width="12.33203125" customWidth="1"/>
    <col min="4" max="4" width="2" customWidth="1"/>
    <col min="6" max="6" width="2" bestFit="1" customWidth="1"/>
    <col min="8" max="8" width="1.6640625" customWidth="1"/>
    <col min="10" max="10" width="5.88671875" bestFit="1" customWidth="1"/>
    <col min="11" max="11" width="10.6640625" customWidth="1"/>
    <col min="12" max="12" width="7.33203125" bestFit="1" customWidth="1"/>
    <col min="13" max="13" width="1.77734375" bestFit="1" customWidth="1"/>
    <col min="14" max="14" width="5" bestFit="1" customWidth="1"/>
  </cols>
  <sheetData>
    <row r="10" spans="1:17" ht="17.399999999999999" x14ac:dyDescent="0.3">
      <c r="A10" s="491" t="s">
        <v>238</v>
      </c>
      <c r="B10" s="491"/>
      <c r="C10" s="491"/>
      <c r="D10" s="491"/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</row>
    <row r="13" spans="1:17" x14ac:dyDescent="0.25">
      <c r="A13" t="str">
        <f>'PLANILHA ORÇAMENTÁRIA'!$A$5</f>
        <v>OBRA: IMPLANTAÇÃO DE SISTEMAS SIMPLIFICADOS DE ABASTACIMENTO DE ÁGUA - 04 (QUATRO) POÇOS TUBULARES PROFUNDOS.</v>
      </c>
    </row>
    <row r="14" spans="1:17" x14ac:dyDescent="0.25">
      <c r="A14" t="str">
        <f>'PLANILHA ORÇAMENTÁRIA'!$A$6</f>
        <v>LOCALIDADES: 1 - ESTRADA DE ACESSO - COMUNIDADE AGUADA; 2 - COMUNIDADE CAPOEIRAS; 3 - COMUNIDADE FLORENÇA; E 4 - COMUNIDADE DE PORTEIRINHAS (1ª ETAPA) - ZONA RURAL - IBERTIOGA-MG</v>
      </c>
    </row>
    <row r="15" spans="1:17" x14ac:dyDescent="0.25">
      <c r="A15" t="str">
        <f>'PLANILHA ORÇAMENTÁRIA'!H4</f>
        <v>DATA:  12/09/2024</v>
      </c>
    </row>
    <row r="18" spans="1:10" s="318" customFormat="1" x14ac:dyDescent="0.25">
      <c r="A18" s="318" t="s">
        <v>247</v>
      </c>
      <c r="B18" s="318" t="str">
        <f>'PLANILHA DE LEVANTAMENTO'!C22</f>
        <v>ESTRADA DE ACESSO - COMUNIDADE AGUADA</v>
      </c>
    </row>
    <row r="21" spans="1:10" x14ac:dyDescent="0.25">
      <c r="B21" t="s">
        <v>250</v>
      </c>
      <c r="I21" s="327">
        <v>12</v>
      </c>
      <c r="J21" t="s">
        <v>105</v>
      </c>
    </row>
    <row r="23" spans="1:10" x14ac:dyDescent="0.25">
      <c r="B23" t="s">
        <v>251</v>
      </c>
      <c r="I23" s="311">
        <v>4</v>
      </c>
      <c r="J23" t="s">
        <v>258</v>
      </c>
    </row>
    <row r="25" spans="1:10" x14ac:dyDescent="0.25">
      <c r="B25" s="318" t="s">
        <v>259</v>
      </c>
      <c r="C25" s="318"/>
      <c r="D25" s="318"/>
      <c r="E25" s="318"/>
      <c r="F25" s="318"/>
      <c r="G25" s="318"/>
      <c r="H25" s="318"/>
      <c r="I25" s="319">
        <f>I21*I23</f>
        <v>48</v>
      </c>
      <c r="J25" s="318" t="s">
        <v>258</v>
      </c>
    </row>
    <row r="27" spans="1:10" x14ac:dyDescent="0.25">
      <c r="B27" t="s">
        <v>263</v>
      </c>
      <c r="I27" s="311">
        <v>150</v>
      </c>
      <c r="J27" t="s">
        <v>249</v>
      </c>
    </row>
    <row r="29" spans="1:10" x14ac:dyDescent="0.25">
      <c r="B29" t="s">
        <v>262</v>
      </c>
    </row>
    <row r="31" spans="1:10" x14ac:dyDescent="0.25">
      <c r="B31" t="s">
        <v>248</v>
      </c>
      <c r="C31" s="311">
        <v>1.25</v>
      </c>
      <c r="E31" s="323" t="s">
        <v>261</v>
      </c>
    </row>
    <row r="34" spans="1:17" x14ac:dyDescent="0.25">
      <c r="B34" t="s">
        <v>252</v>
      </c>
    </row>
    <row r="36" spans="1:17" x14ac:dyDescent="0.25">
      <c r="C36" s="316" t="s">
        <v>253</v>
      </c>
      <c r="E36" s="324" t="s">
        <v>260</v>
      </c>
      <c r="F36" s="314" t="s">
        <v>254</v>
      </c>
      <c r="G36" s="324" t="s">
        <v>264</v>
      </c>
      <c r="I36" s="325" t="s">
        <v>254</v>
      </c>
      <c r="J36" s="316" t="s">
        <v>265</v>
      </c>
      <c r="K36" s="316"/>
    </row>
    <row r="37" spans="1:17" x14ac:dyDescent="0.25">
      <c r="F37">
        <v>3</v>
      </c>
    </row>
    <row r="40" spans="1:17" x14ac:dyDescent="0.25">
      <c r="C40" s="316" t="s">
        <v>253</v>
      </c>
      <c r="D40" s="321"/>
      <c r="E40" s="313">
        <f>I25</f>
        <v>48</v>
      </c>
      <c r="F40" s="314" t="s">
        <v>254</v>
      </c>
      <c r="G40" s="313">
        <f>I27</f>
        <v>150</v>
      </c>
      <c r="H40" t="s">
        <v>254</v>
      </c>
      <c r="I40" s="312">
        <f>C31</f>
        <v>1.25</v>
      </c>
      <c r="J40" s="316" t="s">
        <v>255</v>
      </c>
      <c r="K40" s="311">
        <f>((E40*G40)/F41)*I40</f>
        <v>3000</v>
      </c>
      <c r="L40" t="s">
        <v>256</v>
      </c>
    </row>
    <row r="41" spans="1:17" x14ac:dyDescent="0.25">
      <c r="C41" s="322"/>
      <c r="D41" s="322"/>
      <c r="E41" s="320"/>
      <c r="F41" s="320">
        <v>3</v>
      </c>
      <c r="G41" s="320"/>
    </row>
    <row r="43" spans="1:17" x14ac:dyDescent="0.25">
      <c r="I43" s="492" t="s">
        <v>257</v>
      </c>
      <c r="J43" s="492"/>
      <c r="K43" s="347" t="s">
        <v>413</v>
      </c>
      <c r="L43" s="347"/>
      <c r="M43" s="347"/>
      <c r="N43" s="347"/>
      <c r="O43" s="347"/>
      <c r="P43" s="347"/>
      <c r="Q43" s="347"/>
    </row>
    <row r="45" spans="1:17" x14ac:dyDescent="0.25">
      <c r="A45" s="314"/>
      <c r="B45" s="314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314"/>
      <c r="Q45" s="314"/>
    </row>
    <row r="48" spans="1:17" s="318" customFormat="1" x14ac:dyDescent="0.25">
      <c r="A48" s="318" t="s">
        <v>247</v>
      </c>
      <c r="B48" s="318" t="str">
        <f>'PLANILHA DE LEVANTAMENTO'!C24</f>
        <v>COMUNIDADE CAPOEIRAS</v>
      </c>
    </row>
    <row r="51" spans="2:10" x14ac:dyDescent="0.25">
      <c r="B51" t="s">
        <v>250</v>
      </c>
      <c r="I51" s="327">
        <v>12</v>
      </c>
      <c r="J51" t="s">
        <v>105</v>
      </c>
    </row>
    <row r="53" spans="2:10" x14ac:dyDescent="0.25">
      <c r="B53" t="s">
        <v>251</v>
      </c>
      <c r="I53" s="311">
        <v>4</v>
      </c>
      <c r="J53" t="s">
        <v>258</v>
      </c>
    </row>
    <row r="55" spans="2:10" x14ac:dyDescent="0.25">
      <c r="B55" s="318" t="s">
        <v>259</v>
      </c>
      <c r="C55" s="318"/>
      <c r="D55" s="318"/>
      <c r="E55" s="318"/>
      <c r="F55" s="318"/>
      <c r="G55" s="318"/>
      <c r="H55" s="318"/>
      <c r="I55" s="319">
        <f>I51*I53</f>
        <v>48</v>
      </c>
      <c r="J55" s="318" t="s">
        <v>258</v>
      </c>
    </row>
    <row r="57" spans="2:10" x14ac:dyDescent="0.25">
      <c r="B57" t="s">
        <v>263</v>
      </c>
      <c r="I57" s="311">
        <v>150</v>
      </c>
      <c r="J57" t="s">
        <v>249</v>
      </c>
    </row>
    <row r="59" spans="2:10" x14ac:dyDescent="0.25">
      <c r="B59" t="s">
        <v>262</v>
      </c>
    </row>
    <row r="61" spans="2:10" x14ac:dyDescent="0.25">
      <c r="B61" t="s">
        <v>248</v>
      </c>
      <c r="C61" s="311">
        <v>1.25</v>
      </c>
      <c r="E61" s="323" t="s">
        <v>261</v>
      </c>
    </row>
    <row r="64" spans="2:10" x14ac:dyDescent="0.25">
      <c r="B64" t="s">
        <v>252</v>
      </c>
    </row>
    <row r="66" spans="1:17" x14ac:dyDescent="0.25">
      <c r="C66" s="316" t="s">
        <v>253</v>
      </c>
      <c r="E66" s="324" t="s">
        <v>260</v>
      </c>
      <c r="F66" s="314" t="s">
        <v>254</v>
      </c>
      <c r="G66" s="324" t="s">
        <v>264</v>
      </c>
      <c r="I66" s="325" t="s">
        <v>254</v>
      </c>
      <c r="J66" s="316" t="s">
        <v>265</v>
      </c>
      <c r="K66" s="316"/>
    </row>
    <row r="67" spans="1:17" x14ac:dyDescent="0.25">
      <c r="F67">
        <v>3</v>
      </c>
    </row>
    <row r="70" spans="1:17" x14ac:dyDescent="0.25">
      <c r="C70" s="316" t="s">
        <v>253</v>
      </c>
      <c r="D70" s="321"/>
      <c r="E70" s="313">
        <f>I55</f>
        <v>48</v>
      </c>
      <c r="F70" s="314" t="s">
        <v>254</v>
      </c>
      <c r="G70" s="313">
        <f>I57</f>
        <v>150</v>
      </c>
      <c r="H70" t="s">
        <v>254</v>
      </c>
      <c r="I70" s="312">
        <f>C61</f>
        <v>1.25</v>
      </c>
      <c r="J70" s="316" t="s">
        <v>255</v>
      </c>
      <c r="K70" s="311">
        <f>((E70*G70)/F71)*I70</f>
        <v>3000</v>
      </c>
      <c r="L70" t="s">
        <v>256</v>
      </c>
    </row>
    <row r="71" spans="1:17" x14ac:dyDescent="0.25">
      <c r="C71" s="322"/>
      <c r="D71" s="322"/>
      <c r="E71" s="320"/>
      <c r="F71" s="320">
        <v>3</v>
      </c>
      <c r="G71" s="320"/>
    </row>
    <row r="73" spans="1:17" x14ac:dyDescent="0.25">
      <c r="I73" s="492" t="s">
        <v>257</v>
      </c>
      <c r="J73" s="492"/>
      <c r="K73" s="347" t="s">
        <v>413</v>
      </c>
      <c r="L73" s="347"/>
      <c r="M73" s="347"/>
      <c r="N73" s="347"/>
      <c r="O73" s="347"/>
      <c r="P73" s="347"/>
      <c r="Q73" s="347"/>
    </row>
    <row r="75" spans="1:17" x14ac:dyDescent="0.25">
      <c r="A75" s="314"/>
      <c r="B75" s="314"/>
      <c r="C75" s="314"/>
      <c r="D75" s="314"/>
      <c r="E75" s="314"/>
      <c r="F75" s="314"/>
      <c r="G75" s="314"/>
      <c r="H75" s="314"/>
      <c r="I75" s="314"/>
      <c r="J75" s="314"/>
      <c r="K75" s="314"/>
      <c r="L75" s="314"/>
      <c r="M75" s="314"/>
      <c r="N75" s="314"/>
      <c r="O75" s="314"/>
      <c r="P75" s="314"/>
      <c r="Q75" s="314"/>
    </row>
    <row r="78" spans="1:17" s="318" customFormat="1" x14ac:dyDescent="0.25">
      <c r="A78" s="318" t="s">
        <v>247</v>
      </c>
      <c r="B78" s="318" t="str">
        <f>'PLANILHA DE LEVANTAMENTO'!C26</f>
        <v>COMUNIDADE FLORENÇA</v>
      </c>
    </row>
    <row r="81" spans="2:11" x14ac:dyDescent="0.25">
      <c r="B81" t="s">
        <v>250</v>
      </c>
      <c r="I81" s="327">
        <v>20</v>
      </c>
      <c r="J81" t="s">
        <v>105</v>
      </c>
    </row>
    <row r="83" spans="2:11" x14ac:dyDescent="0.25">
      <c r="B83" t="s">
        <v>251</v>
      </c>
      <c r="I83" s="311">
        <v>4</v>
      </c>
      <c r="J83" t="s">
        <v>258</v>
      </c>
    </row>
    <row r="85" spans="2:11" x14ac:dyDescent="0.25">
      <c r="B85" s="318" t="s">
        <v>259</v>
      </c>
      <c r="C85" s="318"/>
      <c r="D85" s="318"/>
      <c r="E85" s="318"/>
      <c r="F85" s="318"/>
      <c r="G85" s="318"/>
      <c r="H85" s="318"/>
      <c r="I85" s="319">
        <f>I81*I83</f>
        <v>80</v>
      </c>
      <c r="J85" s="318" t="s">
        <v>258</v>
      </c>
    </row>
    <row r="87" spans="2:11" x14ac:dyDescent="0.25">
      <c r="B87" t="s">
        <v>263</v>
      </c>
      <c r="I87" s="311">
        <v>150</v>
      </c>
      <c r="J87" t="s">
        <v>249</v>
      </c>
    </row>
    <row r="89" spans="2:11" x14ac:dyDescent="0.25">
      <c r="B89" t="s">
        <v>262</v>
      </c>
    </row>
    <row r="91" spans="2:11" x14ac:dyDescent="0.25">
      <c r="B91" t="s">
        <v>248</v>
      </c>
      <c r="C91" s="311">
        <v>1.25</v>
      </c>
      <c r="E91" s="323" t="s">
        <v>261</v>
      </c>
    </row>
    <row r="94" spans="2:11" x14ac:dyDescent="0.25">
      <c r="B94" t="s">
        <v>252</v>
      </c>
    </row>
    <row r="96" spans="2:11" x14ac:dyDescent="0.25">
      <c r="C96" s="316" t="s">
        <v>253</v>
      </c>
      <c r="E96" s="324" t="s">
        <v>260</v>
      </c>
      <c r="F96" s="314" t="s">
        <v>254</v>
      </c>
      <c r="G96" s="324" t="s">
        <v>264</v>
      </c>
      <c r="I96" s="325" t="s">
        <v>254</v>
      </c>
      <c r="J96" s="316" t="s">
        <v>265</v>
      </c>
      <c r="K96" s="316"/>
    </row>
    <row r="97" spans="1:17" x14ac:dyDescent="0.25">
      <c r="F97">
        <v>3</v>
      </c>
    </row>
    <row r="100" spans="1:17" x14ac:dyDescent="0.25">
      <c r="C100" s="315" t="s">
        <v>253</v>
      </c>
      <c r="D100" s="321"/>
      <c r="E100" s="313">
        <f>I85</f>
        <v>80</v>
      </c>
      <c r="F100" s="314" t="s">
        <v>254</v>
      </c>
      <c r="G100" s="313">
        <f>I87</f>
        <v>150</v>
      </c>
      <c r="H100" t="s">
        <v>254</v>
      </c>
      <c r="I100" s="312">
        <f>C91</f>
        <v>1.25</v>
      </c>
      <c r="J100" s="315" t="s">
        <v>255</v>
      </c>
      <c r="K100" s="311">
        <f>((E100*G100)/F101)*I100</f>
        <v>5000</v>
      </c>
      <c r="L100" t="s">
        <v>256</v>
      </c>
    </row>
    <row r="101" spans="1:17" x14ac:dyDescent="0.25">
      <c r="C101" s="322"/>
      <c r="D101" s="322"/>
      <c r="E101" s="320"/>
      <c r="F101" s="320">
        <v>3</v>
      </c>
      <c r="G101" s="320"/>
    </row>
    <row r="102" spans="1:17" x14ac:dyDescent="0.25">
      <c r="J102" s="315"/>
      <c r="K102" s="317"/>
    </row>
    <row r="104" spans="1:17" s="334" customFormat="1" x14ac:dyDescent="0.25">
      <c r="G104" s="348"/>
      <c r="H104" s="377" t="s">
        <v>257</v>
      </c>
      <c r="I104" s="377"/>
      <c r="J104" s="347" t="s">
        <v>298</v>
      </c>
      <c r="K104" s="347"/>
      <c r="L104" s="347"/>
      <c r="M104" s="347"/>
      <c r="N104" s="347"/>
      <c r="O104" s="347"/>
      <c r="P104" s="347"/>
      <c r="Q104" s="348"/>
    </row>
    <row r="105" spans="1:17" x14ac:dyDescent="0.25">
      <c r="I105" s="326"/>
      <c r="J105" s="326"/>
      <c r="K105" s="318"/>
      <c r="L105" s="318"/>
      <c r="M105" s="318"/>
      <c r="N105" s="318"/>
      <c r="O105" s="318"/>
      <c r="P105" s="318"/>
      <c r="Q105" s="318"/>
    </row>
    <row r="106" spans="1:17" x14ac:dyDescent="0.25">
      <c r="B106" t="s">
        <v>297</v>
      </c>
      <c r="I106" s="326"/>
      <c r="J106" s="326"/>
      <c r="K106" s="318"/>
      <c r="L106" s="318"/>
      <c r="M106" s="318"/>
      <c r="N106" s="318"/>
      <c r="O106" s="318"/>
      <c r="P106" s="318"/>
      <c r="Q106" s="318"/>
    </row>
    <row r="107" spans="1:17" x14ac:dyDescent="0.25">
      <c r="B107" t="s">
        <v>296</v>
      </c>
      <c r="I107" s="326"/>
      <c r="J107" s="326"/>
      <c r="K107" s="318"/>
      <c r="L107" s="318"/>
      <c r="M107" s="318"/>
      <c r="N107" s="318"/>
      <c r="O107" s="318"/>
      <c r="P107" s="318"/>
      <c r="Q107" s="318"/>
    </row>
    <row r="108" spans="1:17" x14ac:dyDescent="0.25">
      <c r="I108" s="326"/>
      <c r="J108" s="326"/>
      <c r="K108" s="318"/>
      <c r="L108" s="318"/>
      <c r="M108" s="318"/>
      <c r="N108" s="318"/>
      <c r="O108" s="318"/>
      <c r="P108" s="318"/>
      <c r="Q108" s="318"/>
    </row>
    <row r="109" spans="1:17" x14ac:dyDescent="0.25">
      <c r="A109" s="314"/>
      <c r="B109" s="314"/>
      <c r="C109" s="314"/>
      <c r="D109" s="314"/>
      <c r="E109" s="314"/>
      <c r="F109" s="314"/>
      <c r="G109" s="314"/>
      <c r="H109" s="314"/>
      <c r="I109" s="314"/>
      <c r="J109" s="314"/>
      <c r="K109" s="314"/>
      <c r="L109" s="314"/>
      <c r="M109" s="314"/>
      <c r="N109" s="314"/>
      <c r="O109" s="314"/>
      <c r="P109" s="314"/>
      <c r="Q109" s="314"/>
    </row>
    <row r="112" spans="1:17" s="318" customFormat="1" x14ac:dyDescent="0.25">
      <c r="A112" s="318" t="s">
        <v>247</v>
      </c>
      <c r="B112" s="318" t="s">
        <v>412</v>
      </c>
    </row>
    <row r="115" spans="2:10" x14ac:dyDescent="0.25">
      <c r="B115" t="s">
        <v>250</v>
      </c>
      <c r="I115" s="327">
        <v>12</v>
      </c>
      <c r="J115" t="s">
        <v>105</v>
      </c>
    </row>
    <row r="117" spans="2:10" x14ac:dyDescent="0.25">
      <c r="B117" t="s">
        <v>251</v>
      </c>
      <c r="I117" s="311">
        <v>4</v>
      </c>
      <c r="J117" t="s">
        <v>258</v>
      </c>
    </row>
    <row r="119" spans="2:10" x14ac:dyDescent="0.25">
      <c r="B119" s="318" t="s">
        <v>259</v>
      </c>
      <c r="C119" s="318"/>
      <c r="D119" s="318"/>
      <c r="E119" s="318"/>
      <c r="F119" s="318"/>
      <c r="G119" s="318"/>
      <c r="H119" s="318"/>
      <c r="I119" s="319">
        <f>I115*I117</f>
        <v>48</v>
      </c>
      <c r="J119" s="318" t="s">
        <v>258</v>
      </c>
    </row>
    <row r="121" spans="2:10" x14ac:dyDescent="0.25">
      <c r="B121" t="s">
        <v>263</v>
      </c>
      <c r="I121" s="311">
        <v>150</v>
      </c>
      <c r="J121" t="s">
        <v>249</v>
      </c>
    </row>
    <row r="123" spans="2:10" x14ac:dyDescent="0.25">
      <c r="B123" t="s">
        <v>262</v>
      </c>
    </row>
    <row r="125" spans="2:10" x14ac:dyDescent="0.25">
      <c r="B125" t="s">
        <v>248</v>
      </c>
      <c r="C125" s="311">
        <v>1.25</v>
      </c>
      <c r="E125" s="323" t="s">
        <v>261</v>
      </c>
    </row>
    <row r="128" spans="2:10" x14ac:dyDescent="0.25">
      <c r="B128" t="s">
        <v>252</v>
      </c>
    </row>
    <row r="130" spans="1:17" x14ac:dyDescent="0.25">
      <c r="C130" s="316" t="s">
        <v>253</v>
      </c>
      <c r="E130" s="324" t="s">
        <v>260</v>
      </c>
      <c r="F130" s="314" t="s">
        <v>254</v>
      </c>
      <c r="G130" s="324" t="s">
        <v>264</v>
      </c>
      <c r="I130" s="316" t="s">
        <v>254</v>
      </c>
      <c r="J130" s="316" t="s">
        <v>265</v>
      </c>
      <c r="K130" s="316"/>
    </row>
    <row r="131" spans="1:17" x14ac:dyDescent="0.25">
      <c r="F131">
        <v>3</v>
      </c>
    </row>
    <row r="134" spans="1:17" x14ac:dyDescent="0.25">
      <c r="C134" s="316" t="s">
        <v>253</v>
      </c>
      <c r="E134" s="313">
        <f>I119</f>
        <v>48</v>
      </c>
      <c r="F134" s="314" t="s">
        <v>254</v>
      </c>
      <c r="G134" s="313">
        <f>I121</f>
        <v>150</v>
      </c>
      <c r="H134" t="s">
        <v>254</v>
      </c>
      <c r="I134" s="312">
        <f>C125</f>
        <v>1.25</v>
      </c>
      <c r="J134" s="316" t="s">
        <v>255</v>
      </c>
      <c r="K134" s="311">
        <f>((E134*G134)/F135)*I134</f>
        <v>3000</v>
      </c>
      <c r="L134" t="s">
        <v>256</v>
      </c>
    </row>
    <row r="135" spans="1:17" x14ac:dyDescent="0.25">
      <c r="E135" s="406"/>
      <c r="F135" s="406">
        <v>3</v>
      </c>
      <c r="G135" s="406"/>
    </row>
    <row r="137" spans="1:17" x14ac:dyDescent="0.25">
      <c r="I137" s="492" t="s">
        <v>257</v>
      </c>
      <c r="J137" s="492"/>
      <c r="K137" s="347" t="s">
        <v>413</v>
      </c>
      <c r="L137" s="347"/>
      <c r="M137" s="347"/>
      <c r="N137" s="347"/>
      <c r="O137" s="347"/>
      <c r="P137" s="347"/>
      <c r="Q137" s="347"/>
    </row>
    <row r="140" spans="1:17" x14ac:dyDescent="0.25">
      <c r="A140" s="314"/>
      <c r="B140" s="314"/>
      <c r="C140" s="314"/>
      <c r="D140" s="314"/>
      <c r="E140" s="314"/>
      <c r="F140" s="314"/>
      <c r="G140" s="314"/>
      <c r="H140" s="314"/>
      <c r="I140" s="314"/>
      <c r="J140" s="314"/>
      <c r="K140" s="314"/>
      <c r="L140" s="314"/>
      <c r="M140" s="314"/>
      <c r="N140" s="314"/>
      <c r="O140" s="314"/>
      <c r="P140" s="314"/>
      <c r="Q140" s="314"/>
    </row>
    <row r="145" spans="2:2" x14ac:dyDescent="0.25">
      <c r="B145" t="str">
        <f>'PLANILHA ORÇAMENTÁRIA'!B104</f>
        <v>XXXXXXXXXXXXXXX</v>
      </c>
    </row>
    <row r="146" spans="2:2" x14ac:dyDescent="0.25">
      <c r="B146" t="str">
        <f>'PLANILHA ORÇAMENTÁRIA'!B105</f>
        <v>ENGENHEIRO CIVIL - CREAMG NºXXXXXXXXXXXXXXX</v>
      </c>
    </row>
    <row r="147" spans="2:2" x14ac:dyDescent="0.25">
      <c r="B147" t="str">
        <f>'PLANILHA ORÇAMENTÁRIA'!B106</f>
        <v>R. T. LICITANTE</v>
      </c>
    </row>
    <row r="153" spans="2:2" x14ac:dyDescent="0.25">
      <c r="B153" t="str">
        <f>'PLANILHA ORÇAMENTÁRIA'!D104</f>
        <v>XXXXXXXXXXXXXX</v>
      </c>
    </row>
    <row r="154" spans="2:2" x14ac:dyDescent="0.25">
      <c r="B154" t="str">
        <f>'PLANILHA ORÇAMENTÁRIA'!D105</f>
        <v>REPRESENTANTE LEGAL LICITANTE</v>
      </c>
    </row>
  </sheetData>
  <sheetProtection algorithmName="SHA-512" hashValue="DqoyjDp/wtdGy51bQ4DUaJ0FNiRZrwRH8c8goXhDv1CafvKrc0oK1kt+sgkL2yyPE7fZRfXbrLcQM9whX4mMZg==" saltValue="eAMTnvk2Yb0nxHIbKwJHiw==" spinCount="100000" sheet="1" objects="1" scenarios="1"/>
  <mergeCells count="4">
    <mergeCell ref="A10:Q10"/>
    <mergeCell ref="I43:J43"/>
    <mergeCell ref="I73:J73"/>
    <mergeCell ref="I137:J137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C186-7D94-42F6-90E7-77FF934FC2C5}">
  <dimension ref="A11:S183"/>
  <sheetViews>
    <sheetView workbookViewId="0">
      <selection activeCell="S28" sqref="S28"/>
    </sheetView>
  </sheetViews>
  <sheetFormatPr defaultRowHeight="13.2" x14ac:dyDescent="0.25"/>
  <cols>
    <col min="1" max="1" width="8.88671875" style="334"/>
    <col min="2" max="2" width="12.33203125" style="334" customWidth="1"/>
    <col min="3" max="3" width="8.88671875" style="334"/>
    <col min="4" max="4" width="2" style="334" customWidth="1"/>
    <col min="5" max="5" width="8.88671875" style="334"/>
    <col min="6" max="6" width="2" style="334" bestFit="1" customWidth="1"/>
    <col min="7" max="7" width="8.88671875" style="334"/>
    <col min="8" max="8" width="1.6640625" style="334" customWidth="1"/>
    <col min="9" max="9" width="8.88671875" style="334"/>
    <col min="10" max="10" width="5.88671875" style="334" bestFit="1" customWidth="1"/>
    <col min="11" max="11" width="10.6640625" style="334" customWidth="1"/>
    <col min="12" max="12" width="3.44140625" style="334" bestFit="1" customWidth="1"/>
    <col min="13" max="13" width="13.33203125" style="334" customWidth="1"/>
    <col min="14" max="14" width="2.109375" style="334" bestFit="1" customWidth="1"/>
    <col min="15" max="15" width="8.88671875" style="334"/>
    <col min="16" max="16" width="2.44140625" style="334" bestFit="1" customWidth="1"/>
    <col min="17" max="19" width="8.88671875" style="334"/>
  </cols>
  <sheetData>
    <row r="11" spans="1:18" ht="17.399999999999999" x14ac:dyDescent="0.3">
      <c r="A11" s="494" t="s">
        <v>269</v>
      </c>
      <c r="B11" s="494"/>
      <c r="C11" s="494"/>
      <c r="D11" s="494"/>
      <c r="E11" s="494"/>
      <c r="F11" s="494"/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</row>
    <row r="14" spans="1:18" x14ac:dyDescent="0.25">
      <c r="A14" s="334" t="str">
        <f>'PLANILHA ORÇAMENTÁRIA'!$A$5</f>
        <v>OBRA: IMPLANTAÇÃO DE SISTEMAS SIMPLIFICADOS DE ABASTACIMENTO DE ÁGUA - 04 (QUATRO) POÇOS TUBULARES PROFUNDOS.</v>
      </c>
    </row>
    <row r="15" spans="1:18" x14ac:dyDescent="0.25">
      <c r="A15" s="493" t="str">
        <f>'PLANILHA ORÇAMENTÁRIA'!$A$6</f>
        <v>LOCALIDADES: 1 - ESTRADA DE ACESSO - COMUNIDADE AGUADA; 2 - COMUNIDADE CAPOEIRAS; 3 - COMUNIDADE FLORENÇA; E 4 - COMUNIDADE DE PORTEIRINHAS (1ª ETAPA) - ZONA RURAL - IBERTIOGA-MG</v>
      </c>
      <c r="B15" s="493"/>
      <c r="C15" s="493"/>
      <c r="D15" s="493"/>
      <c r="E15" s="493"/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</row>
    <row r="16" spans="1:18" x14ac:dyDescent="0.25">
      <c r="A16" s="493"/>
      <c r="B16" s="493"/>
      <c r="C16" s="493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3"/>
      <c r="O16" s="493"/>
      <c r="P16" s="493"/>
      <c r="Q16" s="493"/>
      <c r="R16" s="493"/>
    </row>
    <row r="19" spans="1:19" s="318" customFormat="1" x14ac:dyDescent="0.25">
      <c r="A19" s="335" t="s">
        <v>247</v>
      </c>
      <c r="B19" s="335" t="str">
        <f>'PLANILHA DE LEVANTAMENTO'!C22</f>
        <v>ESTRADA DE ACESSO - COMUNIDADE AGUADA</v>
      </c>
      <c r="C19" s="33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335"/>
      <c r="R19" s="335"/>
      <c r="S19" s="335"/>
    </row>
    <row r="21" spans="1:19" x14ac:dyDescent="0.25">
      <c r="B21" s="334" t="s">
        <v>270</v>
      </c>
      <c r="C21" s="334" t="s">
        <v>271</v>
      </c>
    </row>
    <row r="24" spans="1:19" x14ac:dyDescent="0.25">
      <c r="B24" s="334" t="s">
        <v>273</v>
      </c>
      <c r="C24" s="334" t="s">
        <v>272</v>
      </c>
      <c r="L24" s="341" t="s">
        <v>255</v>
      </c>
      <c r="M24" s="327">
        <v>0</v>
      </c>
      <c r="N24" s="334" t="s">
        <v>27</v>
      </c>
    </row>
    <row r="26" spans="1:19" x14ac:dyDescent="0.25">
      <c r="B26" s="334" t="s">
        <v>274</v>
      </c>
      <c r="C26" s="334" t="s">
        <v>275</v>
      </c>
      <c r="N26" s="336" t="s">
        <v>255</v>
      </c>
      <c r="O26" s="327">
        <f>'PLANILHA DE LEVANTAMENTO'!G22</f>
        <v>103.5</v>
      </c>
      <c r="P26" s="334" t="s">
        <v>27</v>
      </c>
    </row>
    <row r="29" spans="1:19" x14ac:dyDescent="0.25">
      <c r="B29" s="334" t="s">
        <v>276</v>
      </c>
      <c r="C29" s="334" t="s">
        <v>277</v>
      </c>
    </row>
    <row r="31" spans="1:19" x14ac:dyDescent="0.25">
      <c r="B31" s="334" t="s">
        <v>294</v>
      </c>
    </row>
    <row r="33" spans="2:12" x14ac:dyDescent="0.25">
      <c r="B33" s="334" t="s">
        <v>285</v>
      </c>
      <c r="C33" s="334" t="s">
        <v>280</v>
      </c>
      <c r="J33" s="334" t="s">
        <v>255</v>
      </c>
      <c r="K33" s="334">
        <f>'PLANILHA DE LEVANTAMENTO'!H22</f>
        <v>330.35</v>
      </c>
      <c r="L33" s="334" t="s">
        <v>27</v>
      </c>
    </row>
    <row r="35" spans="2:12" x14ac:dyDescent="0.25">
      <c r="B35" s="334" t="s">
        <v>286</v>
      </c>
      <c r="G35" s="327">
        <f>'PLANILHA DE LEVANTAMENTO'!I22</f>
        <v>5</v>
      </c>
      <c r="H35" s="334" t="s">
        <v>287</v>
      </c>
    </row>
    <row r="37" spans="2:12" x14ac:dyDescent="0.25">
      <c r="B37" s="334" t="s">
        <v>288</v>
      </c>
      <c r="I37" s="342">
        <v>1.2E-2</v>
      </c>
      <c r="J37" s="337" t="s">
        <v>179</v>
      </c>
      <c r="K37" s="334" t="s">
        <v>293</v>
      </c>
    </row>
    <row r="39" spans="2:12" x14ac:dyDescent="0.25">
      <c r="B39" s="334" t="s">
        <v>252</v>
      </c>
    </row>
    <row r="41" spans="2:12" x14ac:dyDescent="0.25">
      <c r="B41" s="334" t="s">
        <v>276</v>
      </c>
      <c r="C41" s="334" t="s">
        <v>290</v>
      </c>
    </row>
    <row r="43" spans="2:12" x14ac:dyDescent="0.25">
      <c r="B43" s="334" t="s">
        <v>276</v>
      </c>
      <c r="C43" s="334">
        <f>K33</f>
        <v>330.35</v>
      </c>
      <c r="D43" s="334" t="s">
        <v>254</v>
      </c>
      <c r="E43" s="342">
        <f>I37</f>
        <v>1.2E-2</v>
      </c>
      <c r="G43" s="343" t="s">
        <v>255</v>
      </c>
      <c r="I43" s="327">
        <f>C43*E43</f>
        <v>3.9642000000000004</v>
      </c>
      <c r="J43" s="334" t="s">
        <v>292</v>
      </c>
    </row>
    <row r="46" spans="2:12" x14ac:dyDescent="0.25">
      <c r="B46" s="334" t="s">
        <v>291</v>
      </c>
    </row>
    <row r="48" spans="2:12" x14ac:dyDescent="0.25">
      <c r="B48" s="334" t="s">
        <v>270</v>
      </c>
      <c r="C48" s="334" t="s">
        <v>278</v>
      </c>
    </row>
    <row r="50" spans="1:19" x14ac:dyDescent="0.25">
      <c r="B50" s="335" t="s">
        <v>270</v>
      </c>
      <c r="C50" s="344">
        <f>(M24+O26+I43)*1.05</f>
        <v>112.83741000000001</v>
      </c>
      <c r="E50" s="335" t="s">
        <v>292</v>
      </c>
    </row>
    <row r="53" spans="1:19" s="350" customFormat="1" x14ac:dyDescent="0.25">
      <c r="B53" s="347" t="s">
        <v>295</v>
      </c>
      <c r="C53" s="347"/>
      <c r="D53" s="347"/>
      <c r="E53" s="347"/>
      <c r="F53" s="347"/>
      <c r="G53" s="347"/>
      <c r="H53" s="348"/>
      <c r="I53" s="348"/>
      <c r="J53" s="348"/>
      <c r="K53" s="349"/>
      <c r="L53" s="348"/>
      <c r="M53" s="348"/>
      <c r="N53" s="348"/>
      <c r="O53" s="348"/>
      <c r="P53" s="348"/>
    </row>
    <row r="55" spans="1:19" x14ac:dyDescent="0.25">
      <c r="A55" s="338"/>
      <c r="B55" s="338"/>
      <c r="C55" s="338"/>
      <c r="D55" s="338"/>
      <c r="E55" s="338"/>
      <c r="F55" s="338"/>
      <c r="G55" s="338"/>
      <c r="H55" s="338"/>
      <c r="I55" s="338"/>
      <c r="J55" s="338"/>
      <c r="K55" s="338"/>
      <c r="L55" s="338"/>
      <c r="M55" s="338"/>
      <c r="N55" s="338"/>
      <c r="O55" s="338"/>
      <c r="P55" s="338"/>
      <c r="Q55" s="338"/>
      <c r="R55" s="338"/>
    </row>
    <row r="57" spans="1:19" s="318" customFormat="1" x14ac:dyDescent="0.25">
      <c r="A57" s="335" t="s">
        <v>247</v>
      </c>
      <c r="B57" s="335" t="str">
        <f>'PLANILHA DE LEVANTAMENTO'!C24</f>
        <v>COMUNIDADE CAPOEIRAS</v>
      </c>
      <c r="C57" s="335"/>
      <c r="D57" s="335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  <c r="S57" s="335"/>
    </row>
    <row r="59" spans="1:19" x14ac:dyDescent="0.25">
      <c r="B59" s="334" t="s">
        <v>270</v>
      </c>
      <c r="C59" s="334" t="s">
        <v>271</v>
      </c>
    </row>
    <row r="62" spans="1:19" x14ac:dyDescent="0.25">
      <c r="B62" s="334" t="s">
        <v>273</v>
      </c>
      <c r="C62" s="334" t="s">
        <v>272</v>
      </c>
      <c r="L62" s="341" t="s">
        <v>255</v>
      </c>
      <c r="M62" s="327">
        <v>0</v>
      </c>
      <c r="N62" s="334" t="s">
        <v>27</v>
      </c>
    </row>
    <row r="64" spans="1:19" x14ac:dyDescent="0.25">
      <c r="B64" s="334" t="s">
        <v>274</v>
      </c>
      <c r="C64" s="334" t="s">
        <v>275</v>
      </c>
      <c r="N64" s="336" t="s">
        <v>255</v>
      </c>
      <c r="O64" s="327">
        <f>'PLANILHA DE LEVANTAMENTO'!G24</f>
        <v>108</v>
      </c>
      <c r="P64" s="334" t="s">
        <v>27</v>
      </c>
    </row>
    <row r="67" spans="2:12" x14ac:dyDescent="0.25">
      <c r="B67" s="334" t="s">
        <v>276</v>
      </c>
      <c r="C67" s="334" t="s">
        <v>277</v>
      </c>
    </row>
    <row r="69" spans="2:12" x14ac:dyDescent="0.25">
      <c r="B69" s="334" t="s">
        <v>294</v>
      </c>
    </row>
    <row r="71" spans="2:12" x14ac:dyDescent="0.25">
      <c r="B71" s="334" t="s">
        <v>285</v>
      </c>
      <c r="C71" s="334" t="s">
        <v>280</v>
      </c>
      <c r="J71" s="334" t="s">
        <v>255</v>
      </c>
      <c r="K71" s="334">
        <f>'PLANILHA DE LEVANTAMENTO'!H24</f>
        <v>184.75</v>
      </c>
      <c r="L71" s="334" t="s">
        <v>27</v>
      </c>
    </row>
    <row r="73" spans="2:12" x14ac:dyDescent="0.25">
      <c r="B73" s="334" t="s">
        <v>286</v>
      </c>
      <c r="G73" s="327">
        <f>'PLANILHA DE LEVANTAMENTO'!I24</f>
        <v>5</v>
      </c>
      <c r="H73" s="334" t="s">
        <v>287</v>
      </c>
    </row>
    <row r="75" spans="2:12" x14ac:dyDescent="0.25">
      <c r="B75" s="334" t="s">
        <v>288</v>
      </c>
      <c r="I75" s="342">
        <v>1.2E-2</v>
      </c>
      <c r="J75" s="337" t="s">
        <v>179</v>
      </c>
      <c r="K75" s="334" t="s">
        <v>293</v>
      </c>
    </row>
    <row r="77" spans="2:12" x14ac:dyDescent="0.25">
      <c r="B77" s="334" t="s">
        <v>252</v>
      </c>
    </row>
    <row r="79" spans="2:12" x14ac:dyDescent="0.25">
      <c r="B79" s="334" t="s">
        <v>276</v>
      </c>
      <c r="C79" s="334" t="s">
        <v>290</v>
      </c>
    </row>
    <row r="81" spans="1:19" x14ac:dyDescent="0.25">
      <c r="B81" s="334" t="s">
        <v>276</v>
      </c>
      <c r="C81" s="334">
        <f>K71</f>
        <v>184.75</v>
      </c>
      <c r="D81" s="334" t="s">
        <v>254</v>
      </c>
      <c r="E81" s="342">
        <f>I75</f>
        <v>1.2E-2</v>
      </c>
      <c r="G81" s="343" t="s">
        <v>255</v>
      </c>
      <c r="I81" s="327">
        <f>C81*E81</f>
        <v>2.2170000000000001</v>
      </c>
      <c r="J81" s="334" t="s">
        <v>292</v>
      </c>
    </row>
    <row r="84" spans="1:19" x14ac:dyDescent="0.25">
      <c r="B84" s="334" t="s">
        <v>291</v>
      </c>
    </row>
    <row r="86" spans="1:19" x14ac:dyDescent="0.25">
      <c r="B86" s="334" t="s">
        <v>270</v>
      </c>
      <c r="C86" s="334" t="s">
        <v>278</v>
      </c>
    </row>
    <row r="88" spans="1:19" x14ac:dyDescent="0.25">
      <c r="B88" s="335" t="s">
        <v>270</v>
      </c>
      <c r="C88" s="344">
        <f>(M62+O64+I81)*1.05</f>
        <v>115.72785</v>
      </c>
      <c r="E88" s="335" t="s">
        <v>292</v>
      </c>
    </row>
    <row r="91" spans="1:19" x14ac:dyDescent="0.25">
      <c r="B91" s="347" t="s">
        <v>295</v>
      </c>
      <c r="C91" s="347"/>
      <c r="D91" s="347"/>
      <c r="E91" s="347"/>
      <c r="F91" s="347"/>
      <c r="G91" s="347"/>
      <c r="H91" s="348"/>
      <c r="I91" s="348"/>
      <c r="J91" s="348"/>
      <c r="K91" s="349"/>
      <c r="L91" s="348"/>
      <c r="M91" s="348"/>
      <c r="N91" s="348"/>
      <c r="O91" s="348"/>
      <c r="P91" s="348"/>
    </row>
    <row r="93" spans="1:19" x14ac:dyDescent="0.25">
      <c r="A93" s="338"/>
      <c r="B93" s="338"/>
      <c r="C93" s="338"/>
      <c r="D93" s="338"/>
      <c r="E93" s="338"/>
      <c r="F93" s="338"/>
      <c r="G93" s="338"/>
      <c r="H93" s="338"/>
      <c r="I93" s="338"/>
      <c r="J93" s="338"/>
      <c r="K93" s="338"/>
      <c r="L93" s="338"/>
      <c r="M93" s="338"/>
      <c r="N93" s="338"/>
      <c r="O93" s="338"/>
      <c r="P93" s="338"/>
      <c r="Q93" s="338"/>
      <c r="R93" s="338"/>
    </row>
    <row r="95" spans="1:19" s="318" customFormat="1" x14ac:dyDescent="0.25">
      <c r="A95" s="335" t="s">
        <v>247</v>
      </c>
      <c r="B95" s="335" t="str">
        <f>'PLANILHA DE LEVANTAMENTO'!C26</f>
        <v>COMUNIDADE FLORENÇA</v>
      </c>
      <c r="C95" s="335"/>
      <c r="D95" s="335"/>
      <c r="E95" s="335"/>
      <c r="F95" s="335"/>
      <c r="G95" s="335"/>
      <c r="H95" s="335"/>
      <c r="I95" s="335"/>
      <c r="J95" s="335"/>
      <c r="K95" s="335"/>
      <c r="L95" s="335"/>
      <c r="M95" s="335"/>
      <c r="N95" s="335"/>
      <c r="O95" s="335"/>
      <c r="P95" s="335"/>
      <c r="Q95" s="335"/>
      <c r="R95" s="335"/>
      <c r="S95" s="335"/>
    </row>
    <row r="97" spans="2:16" x14ac:dyDescent="0.25">
      <c r="B97" s="334" t="s">
        <v>270</v>
      </c>
      <c r="C97" s="334" t="s">
        <v>271</v>
      </c>
    </row>
    <row r="100" spans="2:16" x14ac:dyDescent="0.25">
      <c r="B100" s="334" t="s">
        <v>273</v>
      </c>
      <c r="C100" s="334" t="s">
        <v>272</v>
      </c>
      <c r="L100" s="341" t="s">
        <v>255</v>
      </c>
      <c r="M100" s="327">
        <v>0</v>
      </c>
      <c r="N100" s="334" t="s">
        <v>27</v>
      </c>
    </row>
    <row r="102" spans="2:16" x14ac:dyDescent="0.25">
      <c r="B102" s="334" t="s">
        <v>274</v>
      </c>
      <c r="C102" s="334" t="s">
        <v>275</v>
      </c>
      <c r="N102" s="336" t="s">
        <v>255</v>
      </c>
      <c r="O102" s="327">
        <f>'PLANILHA DE LEVANTAMENTO'!G26</f>
        <v>92</v>
      </c>
      <c r="P102" s="334" t="s">
        <v>27</v>
      </c>
    </row>
    <row r="105" spans="2:16" x14ac:dyDescent="0.25">
      <c r="B105" s="334" t="s">
        <v>276</v>
      </c>
      <c r="C105" s="334" t="s">
        <v>277</v>
      </c>
    </row>
    <row r="107" spans="2:16" x14ac:dyDescent="0.25">
      <c r="B107" s="334" t="s">
        <v>294</v>
      </c>
    </row>
    <row r="109" spans="2:16" x14ac:dyDescent="0.25">
      <c r="B109" s="334" t="s">
        <v>285</v>
      </c>
      <c r="C109" s="334" t="s">
        <v>280</v>
      </c>
      <c r="J109" s="334" t="s">
        <v>255</v>
      </c>
      <c r="K109" s="334">
        <f>'PLANILHA DE LEVANTAMENTO'!H26</f>
        <v>466.66999999999996</v>
      </c>
      <c r="L109" s="334" t="s">
        <v>27</v>
      </c>
    </row>
    <row r="111" spans="2:16" x14ac:dyDescent="0.25">
      <c r="B111" s="334" t="s">
        <v>286</v>
      </c>
      <c r="G111" s="327">
        <f>'PLANILHA DE LEVANTAMENTO'!I68</f>
        <v>0</v>
      </c>
      <c r="H111" s="334" t="s">
        <v>287</v>
      </c>
    </row>
    <row r="113" spans="2:11" x14ac:dyDescent="0.25">
      <c r="B113" s="334" t="s">
        <v>288</v>
      </c>
      <c r="I113" s="342">
        <v>1.2E-2</v>
      </c>
      <c r="J113" s="337" t="s">
        <v>179</v>
      </c>
      <c r="K113" s="334" t="s">
        <v>293</v>
      </c>
    </row>
    <row r="115" spans="2:11" x14ac:dyDescent="0.25">
      <c r="B115" s="334" t="s">
        <v>252</v>
      </c>
    </row>
    <row r="117" spans="2:11" x14ac:dyDescent="0.25">
      <c r="B117" s="334" t="s">
        <v>276</v>
      </c>
      <c r="C117" s="334" t="s">
        <v>290</v>
      </c>
    </row>
    <row r="119" spans="2:11" x14ac:dyDescent="0.25">
      <c r="B119" s="334" t="s">
        <v>276</v>
      </c>
      <c r="C119" s="334">
        <f>K109</f>
        <v>466.66999999999996</v>
      </c>
      <c r="D119" s="334" t="s">
        <v>254</v>
      </c>
      <c r="E119" s="342">
        <f>I113</f>
        <v>1.2E-2</v>
      </c>
      <c r="G119" s="343" t="s">
        <v>255</v>
      </c>
      <c r="I119" s="327">
        <f>C119*E119</f>
        <v>5.6000399999999999</v>
      </c>
      <c r="J119" s="334" t="s">
        <v>292</v>
      </c>
    </row>
    <row r="122" spans="2:11" x14ac:dyDescent="0.25">
      <c r="B122" s="334" t="s">
        <v>291</v>
      </c>
    </row>
    <row r="124" spans="2:11" x14ac:dyDescent="0.25">
      <c r="B124" s="334" t="s">
        <v>270</v>
      </c>
      <c r="C124" s="334" t="s">
        <v>278</v>
      </c>
    </row>
    <row r="126" spans="2:11" x14ac:dyDescent="0.25">
      <c r="B126" s="335" t="s">
        <v>270</v>
      </c>
      <c r="C126" s="344">
        <f>(M100+O102+I119)*1.05</f>
        <v>102.48004200000001</v>
      </c>
      <c r="E126" s="335" t="s">
        <v>292</v>
      </c>
    </row>
    <row r="129" spans="1:19" x14ac:dyDescent="0.25">
      <c r="B129" s="347" t="s">
        <v>295</v>
      </c>
      <c r="C129" s="347"/>
      <c r="D129" s="347"/>
      <c r="E129" s="347"/>
      <c r="F129" s="347"/>
      <c r="G129" s="347"/>
      <c r="H129" s="348"/>
      <c r="I129" s="348"/>
      <c r="J129" s="348"/>
      <c r="K129" s="349"/>
      <c r="L129" s="348"/>
      <c r="M129" s="348"/>
      <c r="N129" s="348"/>
      <c r="O129" s="348"/>
      <c r="P129" s="348"/>
    </row>
    <row r="131" spans="1:19" x14ac:dyDescent="0.25">
      <c r="A131" s="338"/>
      <c r="B131" s="338"/>
      <c r="C131" s="338"/>
      <c r="D131" s="338"/>
      <c r="E131" s="338"/>
      <c r="F131" s="338"/>
      <c r="G131" s="338"/>
      <c r="H131" s="338"/>
      <c r="I131" s="338"/>
      <c r="J131" s="338"/>
      <c r="K131" s="338"/>
      <c r="L131" s="338"/>
      <c r="M131" s="338"/>
      <c r="N131" s="338"/>
      <c r="O131" s="338"/>
      <c r="P131" s="338"/>
      <c r="Q131" s="338"/>
      <c r="R131" s="338"/>
    </row>
    <row r="133" spans="1:19" s="318" customFormat="1" x14ac:dyDescent="0.25">
      <c r="A133" s="335" t="s">
        <v>247</v>
      </c>
      <c r="B133" s="335" t="str">
        <f>'CÁLCULO DE RESERVATÓRIOS'!B112</f>
        <v>COMUNIDADE DE PORTEIRINHAS - ZONA RURAL - IBERTIOGA-MG</v>
      </c>
      <c r="C133" s="335"/>
      <c r="D133" s="335"/>
      <c r="E133" s="335"/>
      <c r="F133" s="335"/>
      <c r="G133" s="335"/>
      <c r="H133" s="335"/>
      <c r="I133" s="335"/>
      <c r="J133" s="335"/>
      <c r="K133" s="335"/>
      <c r="L133" s="335"/>
      <c r="M133" s="335"/>
      <c r="N133" s="335"/>
      <c r="O133" s="335"/>
      <c r="P133" s="335"/>
      <c r="Q133" s="335"/>
      <c r="R133" s="335"/>
      <c r="S133" s="335"/>
    </row>
    <row r="135" spans="1:19" x14ac:dyDescent="0.25">
      <c r="B135" s="334" t="s">
        <v>270</v>
      </c>
      <c r="C135" s="334" t="s">
        <v>271</v>
      </c>
    </row>
    <row r="138" spans="1:19" x14ac:dyDescent="0.25">
      <c r="B138" s="334" t="s">
        <v>273</v>
      </c>
      <c r="C138" s="334" t="s">
        <v>272</v>
      </c>
      <c r="L138" s="341" t="s">
        <v>255</v>
      </c>
      <c r="M138" s="327">
        <v>0</v>
      </c>
      <c r="N138" s="334" t="s">
        <v>27</v>
      </c>
    </row>
    <row r="140" spans="1:19" x14ac:dyDescent="0.25">
      <c r="B140" s="334" t="s">
        <v>274</v>
      </c>
      <c r="C140" s="334" t="s">
        <v>275</v>
      </c>
      <c r="N140" s="336" t="s">
        <v>255</v>
      </c>
      <c r="O140" s="327">
        <f>'[1]PLANILHA DE LEVANTAMENTO'!G138</f>
        <v>0</v>
      </c>
      <c r="P140" s="334" t="s">
        <v>27</v>
      </c>
    </row>
    <row r="143" spans="1:19" x14ac:dyDescent="0.25">
      <c r="B143" s="334" t="s">
        <v>276</v>
      </c>
      <c r="C143" s="334" t="s">
        <v>277</v>
      </c>
    </row>
    <row r="145" spans="2:12" x14ac:dyDescent="0.25">
      <c r="B145" s="334" t="s">
        <v>294</v>
      </c>
    </row>
    <row r="147" spans="2:12" x14ac:dyDescent="0.25">
      <c r="B147" s="334" t="s">
        <v>285</v>
      </c>
      <c r="C147" s="334" t="s">
        <v>280</v>
      </c>
      <c r="J147" s="334" t="s">
        <v>255</v>
      </c>
      <c r="K147" s="334">
        <f>'[1]PLANILHA DE LEVANTAMENTO'!H138</f>
        <v>0</v>
      </c>
      <c r="L147" s="334" t="s">
        <v>27</v>
      </c>
    </row>
    <row r="149" spans="2:12" x14ac:dyDescent="0.25">
      <c r="B149" s="334" t="s">
        <v>286</v>
      </c>
      <c r="G149" s="327">
        <f>'[1]PLANILHA DE LEVANTAMENTO'!I138</f>
        <v>0</v>
      </c>
      <c r="H149" s="334" t="s">
        <v>287</v>
      </c>
    </row>
    <row r="151" spans="2:12" x14ac:dyDescent="0.25">
      <c r="B151" s="334" t="s">
        <v>288</v>
      </c>
      <c r="I151" s="342">
        <v>1.2E-2</v>
      </c>
      <c r="J151" s="337" t="s">
        <v>179</v>
      </c>
      <c r="K151" s="334" t="s">
        <v>293</v>
      </c>
    </row>
    <row r="153" spans="2:12" x14ac:dyDescent="0.25">
      <c r="B153" s="334" t="s">
        <v>252</v>
      </c>
    </row>
    <row r="155" spans="2:12" x14ac:dyDescent="0.25">
      <c r="B155" s="334" t="s">
        <v>276</v>
      </c>
      <c r="C155" s="334" t="s">
        <v>290</v>
      </c>
    </row>
    <row r="157" spans="2:12" x14ac:dyDescent="0.25">
      <c r="B157" s="334" t="s">
        <v>276</v>
      </c>
      <c r="C157" s="334">
        <f>K147</f>
        <v>0</v>
      </c>
      <c r="D157" s="334" t="s">
        <v>254</v>
      </c>
      <c r="E157" s="342">
        <f>I151</f>
        <v>1.2E-2</v>
      </c>
      <c r="G157" s="343" t="s">
        <v>255</v>
      </c>
      <c r="I157" s="327">
        <f>C157*E157</f>
        <v>0</v>
      </c>
      <c r="J157" s="334" t="s">
        <v>292</v>
      </c>
    </row>
    <row r="160" spans="2:12" x14ac:dyDescent="0.25">
      <c r="B160" s="334" t="s">
        <v>291</v>
      </c>
    </row>
    <row r="162" spans="1:18" x14ac:dyDescent="0.25">
      <c r="B162" s="334" t="s">
        <v>270</v>
      </c>
      <c r="C162" s="334" t="s">
        <v>278</v>
      </c>
    </row>
    <row r="164" spans="1:18" x14ac:dyDescent="0.25">
      <c r="B164" s="335" t="s">
        <v>270</v>
      </c>
      <c r="C164" s="344">
        <f>(M138+O140+I157)*1.05</f>
        <v>0</v>
      </c>
      <c r="E164" s="335" t="s">
        <v>292</v>
      </c>
    </row>
    <row r="167" spans="1:18" x14ac:dyDescent="0.25">
      <c r="B167" s="347" t="s">
        <v>295</v>
      </c>
      <c r="C167" s="347"/>
      <c r="D167" s="347"/>
      <c r="E167" s="347"/>
      <c r="F167" s="347"/>
      <c r="G167" s="347"/>
      <c r="H167" s="348"/>
      <c r="I167" s="348"/>
      <c r="J167" s="348"/>
      <c r="K167" s="349"/>
      <c r="L167" s="348"/>
      <c r="M167" s="348"/>
      <c r="N167" s="348"/>
      <c r="O167" s="348"/>
      <c r="P167" s="348"/>
    </row>
    <row r="169" spans="1:18" x14ac:dyDescent="0.25">
      <c r="A169" s="338"/>
      <c r="B169" s="338"/>
      <c r="C169" s="338"/>
      <c r="D169" s="338"/>
      <c r="E169" s="338"/>
      <c r="F169" s="338"/>
      <c r="G169" s="338"/>
      <c r="H169" s="338"/>
      <c r="I169" s="338"/>
      <c r="J169" s="338"/>
      <c r="K169" s="338"/>
      <c r="L169" s="338"/>
      <c r="M169" s="338"/>
      <c r="N169" s="338"/>
      <c r="O169" s="338"/>
      <c r="P169" s="338"/>
      <c r="Q169" s="338"/>
      <c r="R169" s="338"/>
    </row>
    <row r="174" spans="1:18" x14ac:dyDescent="0.25">
      <c r="B174" s="334" t="str">
        <f>'PLANILHA ORÇAMENTÁRIA'!B104</f>
        <v>XXXXXXXXXXXXXXX</v>
      </c>
    </row>
    <row r="175" spans="1:18" x14ac:dyDescent="0.25">
      <c r="B175" s="334" t="str">
        <f>'PLANILHA ORÇAMENTÁRIA'!B105</f>
        <v>ENGENHEIRO CIVIL - CREAMG NºXXXXXXXXXXXXXXX</v>
      </c>
    </row>
    <row r="176" spans="1:18" x14ac:dyDescent="0.25">
      <c r="B176" s="334" t="str">
        <f>'PLANILHA ORÇAMENTÁRIA'!B106</f>
        <v>R. T. LICITANTE</v>
      </c>
    </row>
    <row r="182" spans="2:2" x14ac:dyDescent="0.25">
      <c r="B182" s="334" t="str">
        <f>'PLANILHA ORÇAMENTÁRIA'!D104</f>
        <v>XXXXXXXXXXXXXX</v>
      </c>
    </row>
    <row r="183" spans="2:2" x14ac:dyDescent="0.25">
      <c r="B183" s="334" t="str">
        <f>'PLANILHA ORÇAMENTÁRIA'!D105</f>
        <v>REPRESENTANTE LEGAL LICITANTE</v>
      </c>
    </row>
  </sheetData>
  <sheetProtection algorithmName="SHA-512" hashValue="gb+SljGtg6bCxPFaufuohegjIk4RHXrn+r2/rEx5W/ggdroAzs0RkXHKRswICFw6bRviZs/n7AYU/jWzISWO+g==" saltValue="A3mbILJ4z2E56Djl/yruzg==" spinCount="100000" sheet="1" objects="1" scenarios="1"/>
  <mergeCells count="2">
    <mergeCell ref="A15:R16"/>
    <mergeCell ref="A11:R11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headerFoot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90B7C-4B87-4880-87A4-821DE43DF559}">
  <dimension ref="B1:T50"/>
  <sheetViews>
    <sheetView topLeftCell="A7" zoomScale="70" zoomScaleNormal="70" workbookViewId="0">
      <selection activeCell="Q24" sqref="Q24"/>
    </sheetView>
  </sheetViews>
  <sheetFormatPr defaultColWidth="9.109375" defaultRowHeight="13.8" x14ac:dyDescent="0.3"/>
  <cols>
    <col min="1" max="1" width="4.44140625" style="179" customWidth="1"/>
    <col min="2" max="2" width="6.6640625" style="179" customWidth="1"/>
    <col min="3" max="3" width="45.44140625" style="179" customWidth="1"/>
    <col min="4" max="4" width="20.77734375" style="179" customWidth="1"/>
    <col min="5" max="5" width="15.44140625" style="179" customWidth="1"/>
    <col min="6" max="6" width="15.88671875" style="179" customWidth="1"/>
    <col min="7" max="7" width="17.88671875" style="179" customWidth="1"/>
    <col min="8" max="8" width="18.44140625" style="179" customWidth="1"/>
    <col min="9" max="9" width="17.88671875" style="179" customWidth="1"/>
    <col min="10" max="11" width="20.44140625" style="299" customWidth="1"/>
    <col min="12" max="12" width="20.77734375" style="179" customWidth="1"/>
    <col min="13" max="13" width="17.33203125" style="179" customWidth="1"/>
    <col min="14" max="14" width="12.77734375" style="179" customWidth="1"/>
    <col min="15" max="15" width="12.6640625" style="179" customWidth="1"/>
    <col min="16" max="16" width="6.21875" style="179" customWidth="1"/>
    <col min="17" max="17" width="12.6640625" style="179" bestFit="1" customWidth="1"/>
    <col min="18" max="261" width="9.109375" style="179"/>
    <col min="262" max="262" width="8.6640625" style="179" customWidth="1"/>
    <col min="263" max="263" width="42.44140625" style="179" customWidth="1"/>
    <col min="264" max="265" width="0" style="179" hidden="1" customWidth="1"/>
    <col min="266" max="266" width="16.44140625" style="179" customWidth="1"/>
    <col min="267" max="270" width="18.44140625" style="179" customWidth="1"/>
    <col min="271" max="271" width="27.88671875" style="179" customWidth="1"/>
    <col min="272" max="272" width="9.109375" style="179"/>
    <col min="273" max="273" width="12.6640625" style="179" bestFit="1" customWidth="1"/>
    <col min="274" max="517" width="9.109375" style="179"/>
    <col min="518" max="518" width="8.6640625" style="179" customWidth="1"/>
    <col min="519" max="519" width="42.44140625" style="179" customWidth="1"/>
    <col min="520" max="521" width="0" style="179" hidden="1" customWidth="1"/>
    <col min="522" max="522" width="16.44140625" style="179" customWidth="1"/>
    <col min="523" max="526" width="18.44140625" style="179" customWidth="1"/>
    <col min="527" max="527" width="27.88671875" style="179" customWidth="1"/>
    <col min="528" max="528" width="9.109375" style="179"/>
    <col min="529" max="529" width="12.6640625" style="179" bestFit="1" customWidth="1"/>
    <col min="530" max="773" width="9.109375" style="179"/>
    <col min="774" max="774" width="8.6640625" style="179" customWidth="1"/>
    <col min="775" max="775" width="42.44140625" style="179" customWidth="1"/>
    <col min="776" max="777" width="0" style="179" hidden="1" customWidth="1"/>
    <col min="778" max="778" width="16.44140625" style="179" customWidth="1"/>
    <col min="779" max="782" width="18.44140625" style="179" customWidth="1"/>
    <col min="783" max="783" width="27.88671875" style="179" customWidth="1"/>
    <col min="784" max="784" width="9.109375" style="179"/>
    <col min="785" max="785" width="12.6640625" style="179" bestFit="1" customWidth="1"/>
    <col min="786" max="1029" width="9.109375" style="179"/>
    <col min="1030" max="1030" width="8.6640625" style="179" customWidth="1"/>
    <col min="1031" max="1031" width="42.44140625" style="179" customWidth="1"/>
    <col min="1032" max="1033" width="0" style="179" hidden="1" customWidth="1"/>
    <col min="1034" max="1034" width="16.44140625" style="179" customWidth="1"/>
    <col min="1035" max="1038" width="18.44140625" style="179" customWidth="1"/>
    <col min="1039" max="1039" width="27.88671875" style="179" customWidth="1"/>
    <col min="1040" max="1040" width="9.109375" style="179"/>
    <col min="1041" max="1041" width="12.6640625" style="179" bestFit="1" customWidth="1"/>
    <col min="1042" max="1285" width="9.109375" style="179"/>
    <col min="1286" max="1286" width="8.6640625" style="179" customWidth="1"/>
    <col min="1287" max="1287" width="42.44140625" style="179" customWidth="1"/>
    <col min="1288" max="1289" width="0" style="179" hidden="1" customWidth="1"/>
    <col min="1290" max="1290" width="16.44140625" style="179" customWidth="1"/>
    <col min="1291" max="1294" width="18.44140625" style="179" customWidth="1"/>
    <col min="1295" max="1295" width="27.88671875" style="179" customWidth="1"/>
    <col min="1296" max="1296" width="9.109375" style="179"/>
    <col min="1297" max="1297" width="12.6640625" style="179" bestFit="1" customWidth="1"/>
    <col min="1298" max="1541" width="9.109375" style="179"/>
    <col min="1542" max="1542" width="8.6640625" style="179" customWidth="1"/>
    <col min="1543" max="1543" width="42.44140625" style="179" customWidth="1"/>
    <col min="1544" max="1545" width="0" style="179" hidden="1" customWidth="1"/>
    <col min="1546" max="1546" width="16.44140625" style="179" customWidth="1"/>
    <col min="1547" max="1550" width="18.44140625" style="179" customWidth="1"/>
    <col min="1551" max="1551" width="27.88671875" style="179" customWidth="1"/>
    <col min="1552" max="1552" width="9.109375" style="179"/>
    <col min="1553" max="1553" width="12.6640625" style="179" bestFit="1" customWidth="1"/>
    <col min="1554" max="1797" width="9.109375" style="179"/>
    <col min="1798" max="1798" width="8.6640625" style="179" customWidth="1"/>
    <col min="1799" max="1799" width="42.44140625" style="179" customWidth="1"/>
    <col min="1800" max="1801" width="0" style="179" hidden="1" customWidth="1"/>
    <col min="1802" max="1802" width="16.44140625" style="179" customWidth="1"/>
    <col min="1803" max="1806" width="18.44140625" style="179" customWidth="1"/>
    <col min="1807" max="1807" width="27.88671875" style="179" customWidth="1"/>
    <col min="1808" max="1808" width="9.109375" style="179"/>
    <col min="1809" max="1809" width="12.6640625" style="179" bestFit="1" customWidth="1"/>
    <col min="1810" max="2053" width="9.109375" style="179"/>
    <col min="2054" max="2054" width="8.6640625" style="179" customWidth="1"/>
    <col min="2055" max="2055" width="42.44140625" style="179" customWidth="1"/>
    <col min="2056" max="2057" width="0" style="179" hidden="1" customWidth="1"/>
    <col min="2058" max="2058" width="16.44140625" style="179" customWidth="1"/>
    <col min="2059" max="2062" width="18.44140625" style="179" customWidth="1"/>
    <col min="2063" max="2063" width="27.88671875" style="179" customWidth="1"/>
    <col min="2064" max="2064" width="9.109375" style="179"/>
    <col min="2065" max="2065" width="12.6640625" style="179" bestFit="1" customWidth="1"/>
    <col min="2066" max="2309" width="9.109375" style="179"/>
    <col min="2310" max="2310" width="8.6640625" style="179" customWidth="1"/>
    <col min="2311" max="2311" width="42.44140625" style="179" customWidth="1"/>
    <col min="2312" max="2313" width="0" style="179" hidden="1" customWidth="1"/>
    <col min="2314" max="2314" width="16.44140625" style="179" customWidth="1"/>
    <col min="2315" max="2318" width="18.44140625" style="179" customWidth="1"/>
    <col min="2319" max="2319" width="27.88671875" style="179" customWidth="1"/>
    <col min="2320" max="2320" width="9.109375" style="179"/>
    <col min="2321" max="2321" width="12.6640625" style="179" bestFit="1" customWidth="1"/>
    <col min="2322" max="2565" width="9.109375" style="179"/>
    <col min="2566" max="2566" width="8.6640625" style="179" customWidth="1"/>
    <col min="2567" max="2567" width="42.44140625" style="179" customWidth="1"/>
    <col min="2568" max="2569" width="0" style="179" hidden="1" customWidth="1"/>
    <col min="2570" max="2570" width="16.44140625" style="179" customWidth="1"/>
    <col min="2571" max="2574" width="18.44140625" style="179" customWidth="1"/>
    <col min="2575" max="2575" width="27.88671875" style="179" customWidth="1"/>
    <col min="2576" max="2576" width="9.109375" style="179"/>
    <col min="2577" max="2577" width="12.6640625" style="179" bestFit="1" customWidth="1"/>
    <col min="2578" max="2821" width="9.109375" style="179"/>
    <col min="2822" max="2822" width="8.6640625" style="179" customWidth="1"/>
    <col min="2823" max="2823" width="42.44140625" style="179" customWidth="1"/>
    <col min="2824" max="2825" width="0" style="179" hidden="1" customWidth="1"/>
    <col min="2826" max="2826" width="16.44140625" style="179" customWidth="1"/>
    <col min="2827" max="2830" width="18.44140625" style="179" customWidth="1"/>
    <col min="2831" max="2831" width="27.88671875" style="179" customWidth="1"/>
    <col min="2832" max="2832" width="9.109375" style="179"/>
    <col min="2833" max="2833" width="12.6640625" style="179" bestFit="1" customWidth="1"/>
    <col min="2834" max="3077" width="9.109375" style="179"/>
    <col min="3078" max="3078" width="8.6640625" style="179" customWidth="1"/>
    <col min="3079" max="3079" width="42.44140625" style="179" customWidth="1"/>
    <col min="3080" max="3081" width="0" style="179" hidden="1" customWidth="1"/>
    <col min="3082" max="3082" width="16.44140625" style="179" customWidth="1"/>
    <col min="3083" max="3086" width="18.44140625" style="179" customWidth="1"/>
    <col min="3087" max="3087" width="27.88671875" style="179" customWidth="1"/>
    <col min="3088" max="3088" width="9.109375" style="179"/>
    <col min="3089" max="3089" width="12.6640625" style="179" bestFit="1" customWidth="1"/>
    <col min="3090" max="3333" width="9.109375" style="179"/>
    <col min="3334" max="3334" width="8.6640625" style="179" customWidth="1"/>
    <col min="3335" max="3335" width="42.44140625" style="179" customWidth="1"/>
    <col min="3336" max="3337" width="0" style="179" hidden="1" customWidth="1"/>
    <col min="3338" max="3338" width="16.44140625" style="179" customWidth="1"/>
    <col min="3339" max="3342" width="18.44140625" style="179" customWidth="1"/>
    <col min="3343" max="3343" width="27.88671875" style="179" customWidth="1"/>
    <col min="3344" max="3344" width="9.109375" style="179"/>
    <col min="3345" max="3345" width="12.6640625" style="179" bestFit="1" customWidth="1"/>
    <col min="3346" max="3589" width="9.109375" style="179"/>
    <col min="3590" max="3590" width="8.6640625" style="179" customWidth="1"/>
    <col min="3591" max="3591" width="42.44140625" style="179" customWidth="1"/>
    <col min="3592" max="3593" width="0" style="179" hidden="1" customWidth="1"/>
    <col min="3594" max="3594" width="16.44140625" style="179" customWidth="1"/>
    <col min="3595" max="3598" width="18.44140625" style="179" customWidth="1"/>
    <col min="3599" max="3599" width="27.88671875" style="179" customWidth="1"/>
    <col min="3600" max="3600" width="9.109375" style="179"/>
    <col min="3601" max="3601" width="12.6640625" style="179" bestFit="1" customWidth="1"/>
    <col min="3602" max="3845" width="9.109375" style="179"/>
    <col min="3846" max="3846" width="8.6640625" style="179" customWidth="1"/>
    <col min="3847" max="3847" width="42.44140625" style="179" customWidth="1"/>
    <col min="3848" max="3849" width="0" style="179" hidden="1" customWidth="1"/>
    <col min="3850" max="3850" width="16.44140625" style="179" customWidth="1"/>
    <col min="3851" max="3854" width="18.44140625" style="179" customWidth="1"/>
    <col min="3855" max="3855" width="27.88671875" style="179" customWidth="1"/>
    <col min="3856" max="3856" width="9.109375" style="179"/>
    <col min="3857" max="3857" width="12.6640625" style="179" bestFit="1" customWidth="1"/>
    <col min="3858" max="4101" width="9.109375" style="179"/>
    <col min="4102" max="4102" width="8.6640625" style="179" customWidth="1"/>
    <col min="4103" max="4103" width="42.44140625" style="179" customWidth="1"/>
    <col min="4104" max="4105" width="0" style="179" hidden="1" customWidth="1"/>
    <col min="4106" max="4106" width="16.44140625" style="179" customWidth="1"/>
    <col min="4107" max="4110" width="18.44140625" style="179" customWidth="1"/>
    <col min="4111" max="4111" width="27.88671875" style="179" customWidth="1"/>
    <col min="4112" max="4112" width="9.109375" style="179"/>
    <col min="4113" max="4113" width="12.6640625" style="179" bestFit="1" customWidth="1"/>
    <col min="4114" max="4357" width="9.109375" style="179"/>
    <col min="4358" max="4358" width="8.6640625" style="179" customWidth="1"/>
    <col min="4359" max="4359" width="42.44140625" style="179" customWidth="1"/>
    <col min="4360" max="4361" width="0" style="179" hidden="1" customWidth="1"/>
    <col min="4362" max="4362" width="16.44140625" style="179" customWidth="1"/>
    <col min="4363" max="4366" width="18.44140625" style="179" customWidth="1"/>
    <col min="4367" max="4367" width="27.88671875" style="179" customWidth="1"/>
    <col min="4368" max="4368" width="9.109375" style="179"/>
    <col min="4369" max="4369" width="12.6640625" style="179" bestFit="1" customWidth="1"/>
    <col min="4370" max="4613" width="9.109375" style="179"/>
    <col min="4614" max="4614" width="8.6640625" style="179" customWidth="1"/>
    <col min="4615" max="4615" width="42.44140625" style="179" customWidth="1"/>
    <col min="4616" max="4617" width="0" style="179" hidden="1" customWidth="1"/>
    <col min="4618" max="4618" width="16.44140625" style="179" customWidth="1"/>
    <col min="4619" max="4622" width="18.44140625" style="179" customWidth="1"/>
    <col min="4623" max="4623" width="27.88671875" style="179" customWidth="1"/>
    <col min="4624" max="4624" width="9.109375" style="179"/>
    <col min="4625" max="4625" width="12.6640625" style="179" bestFit="1" customWidth="1"/>
    <col min="4626" max="4869" width="9.109375" style="179"/>
    <col min="4870" max="4870" width="8.6640625" style="179" customWidth="1"/>
    <col min="4871" max="4871" width="42.44140625" style="179" customWidth="1"/>
    <col min="4872" max="4873" width="0" style="179" hidden="1" customWidth="1"/>
    <col min="4874" max="4874" width="16.44140625" style="179" customWidth="1"/>
    <col min="4875" max="4878" width="18.44140625" style="179" customWidth="1"/>
    <col min="4879" max="4879" width="27.88671875" style="179" customWidth="1"/>
    <col min="4880" max="4880" width="9.109375" style="179"/>
    <col min="4881" max="4881" width="12.6640625" style="179" bestFit="1" customWidth="1"/>
    <col min="4882" max="5125" width="9.109375" style="179"/>
    <col min="5126" max="5126" width="8.6640625" style="179" customWidth="1"/>
    <col min="5127" max="5127" width="42.44140625" style="179" customWidth="1"/>
    <col min="5128" max="5129" width="0" style="179" hidden="1" customWidth="1"/>
    <col min="5130" max="5130" width="16.44140625" style="179" customWidth="1"/>
    <col min="5131" max="5134" width="18.44140625" style="179" customWidth="1"/>
    <col min="5135" max="5135" width="27.88671875" style="179" customWidth="1"/>
    <col min="5136" max="5136" width="9.109375" style="179"/>
    <col min="5137" max="5137" width="12.6640625" style="179" bestFit="1" customWidth="1"/>
    <col min="5138" max="5381" width="9.109375" style="179"/>
    <col min="5382" max="5382" width="8.6640625" style="179" customWidth="1"/>
    <col min="5383" max="5383" width="42.44140625" style="179" customWidth="1"/>
    <col min="5384" max="5385" width="0" style="179" hidden="1" customWidth="1"/>
    <col min="5386" max="5386" width="16.44140625" style="179" customWidth="1"/>
    <col min="5387" max="5390" width="18.44140625" style="179" customWidth="1"/>
    <col min="5391" max="5391" width="27.88671875" style="179" customWidth="1"/>
    <col min="5392" max="5392" width="9.109375" style="179"/>
    <col min="5393" max="5393" width="12.6640625" style="179" bestFit="1" customWidth="1"/>
    <col min="5394" max="5637" width="9.109375" style="179"/>
    <col min="5638" max="5638" width="8.6640625" style="179" customWidth="1"/>
    <col min="5639" max="5639" width="42.44140625" style="179" customWidth="1"/>
    <col min="5640" max="5641" width="0" style="179" hidden="1" customWidth="1"/>
    <col min="5642" max="5642" width="16.44140625" style="179" customWidth="1"/>
    <col min="5643" max="5646" width="18.44140625" style="179" customWidth="1"/>
    <col min="5647" max="5647" width="27.88671875" style="179" customWidth="1"/>
    <col min="5648" max="5648" width="9.109375" style="179"/>
    <col min="5649" max="5649" width="12.6640625" style="179" bestFit="1" customWidth="1"/>
    <col min="5650" max="5893" width="9.109375" style="179"/>
    <col min="5894" max="5894" width="8.6640625" style="179" customWidth="1"/>
    <col min="5895" max="5895" width="42.44140625" style="179" customWidth="1"/>
    <col min="5896" max="5897" width="0" style="179" hidden="1" customWidth="1"/>
    <col min="5898" max="5898" width="16.44140625" style="179" customWidth="1"/>
    <col min="5899" max="5902" width="18.44140625" style="179" customWidth="1"/>
    <col min="5903" max="5903" width="27.88671875" style="179" customWidth="1"/>
    <col min="5904" max="5904" width="9.109375" style="179"/>
    <col min="5905" max="5905" width="12.6640625" style="179" bestFit="1" customWidth="1"/>
    <col min="5906" max="6149" width="9.109375" style="179"/>
    <col min="6150" max="6150" width="8.6640625" style="179" customWidth="1"/>
    <col min="6151" max="6151" width="42.44140625" style="179" customWidth="1"/>
    <col min="6152" max="6153" width="0" style="179" hidden="1" customWidth="1"/>
    <col min="6154" max="6154" width="16.44140625" style="179" customWidth="1"/>
    <col min="6155" max="6158" width="18.44140625" style="179" customWidth="1"/>
    <col min="6159" max="6159" width="27.88671875" style="179" customWidth="1"/>
    <col min="6160" max="6160" width="9.109375" style="179"/>
    <col min="6161" max="6161" width="12.6640625" style="179" bestFit="1" customWidth="1"/>
    <col min="6162" max="6405" width="9.109375" style="179"/>
    <col min="6406" max="6406" width="8.6640625" style="179" customWidth="1"/>
    <col min="6407" max="6407" width="42.44140625" style="179" customWidth="1"/>
    <col min="6408" max="6409" width="0" style="179" hidden="1" customWidth="1"/>
    <col min="6410" max="6410" width="16.44140625" style="179" customWidth="1"/>
    <col min="6411" max="6414" width="18.44140625" style="179" customWidth="1"/>
    <col min="6415" max="6415" width="27.88671875" style="179" customWidth="1"/>
    <col min="6416" max="6416" width="9.109375" style="179"/>
    <col min="6417" max="6417" width="12.6640625" style="179" bestFit="1" customWidth="1"/>
    <col min="6418" max="6661" width="9.109375" style="179"/>
    <col min="6662" max="6662" width="8.6640625" style="179" customWidth="1"/>
    <col min="6663" max="6663" width="42.44140625" style="179" customWidth="1"/>
    <col min="6664" max="6665" width="0" style="179" hidden="1" customWidth="1"/>
    <col min="6666" max="6666" width="16.44140625" style="179" customWidth="1"/>
    <col min="6667" max="6670" width="18.44140625" style="179" customWidth="1"/>
    <col min="6671" max="6671" width="27.88671875" style="179" customWidth="1"/>
    <col min="6672" max="6672" width="9.109375" style="179"/>
    <col min="6673" max="6673" width="12.6640625" style="179" bestFit="1" customWidth="1"/>
    <col min="6674" max="6917" width="9.109375" style="179"/>
    <col min="6918" max="6918" width="8.6640625" style="179" customWidth="1"/>
    <col min="6919" max="6919" width="42.44140625" style="179" customWidth="1"/>
    <col min="6920" max="6921" width="0" style="179" hidden="1" customWidth="1"/>
    <col min="6922" max="6922" width="16.44140625" style="179" customWidth="1"/>
    <col min="6923" max="6926" width="18.44140625" style="179" customWidth="1"/>
    <col min="6927" max="6927" width="27.88671875" style="179" customWidth="1"/>
    <col min="6928" max="6928" width="9.109375" style="179"/>
    <col min="6929" max="6929" width="12.6640625" style="179" bestFit="1" customWidth="1"/>
    <col min="6930" max="7173" width="9.109375" style="179"/>
    <col min="7174" max="7174" width="8.6640625" style="179" customWidth="1"/>
    <col min="7175" max="7175" width="42.44140625" style="179" customWidth="1"/>
    <col min="7176" max="7177" width="0" style="179" hidden="1" customWidth="1"/>
    <col min="7178" max="7178" width="16.44140625" style="179" customWidth="1"/>
    <col min="7179" max="7182" width="18.44140625" style="179" customWidth="1"/>
    <col min="7183" max="7183" width="27.88671875" style="179" customWidth="1"/>
    <col min="7184" max="7184" width="9.109375" style="179"/>
    <col min="7185" max="7185" width="12.6640625" style="179" bestFit="1" customWidth="1"/>
    <col min="7186" max="7429" width="9.109375" style="179"/>
    <col min="7430" max="7430" width="8.6640625" style="179" customWidth="1"/>
    <col min="7431" max="7431" width="42.44140625" style="179" customWidth="1"/>
    <col min="7432" max="7433" width="0" style="179" hidden="1" customWidth="1"/>
    <col min="7434" max="7434" width="16.44140625" style="179" customWidth="1"/>
    <col min="7435" max="7438" width="18.44140625" style="179" customWidth="1"/>
    <col min="7439" max="7439" width="27.88671875" style="179" customWidth="1"/>
    <col min="7440" max="7440" width="9.109375" style="179"/>
    <col min="7441" max="7441" width="12.6640625" style="179" bestFit="1" customWidth="1"/>
    <col min="7442" max="7685" width="9.109375" style="179"/>
    <col min="7686" max="7686" width="8.6640625" style="179" customWidth="1"/>
    <col min="7687" max="7687" width="42.44140625" style="179" customWidth="1"/>
    <col min="7688" max="7689" width="0" style="179" hidden="1" customWidth="1"/>
    <col min="7690" max="7690" width="16.44140625" style="179" customWidth="1"/>
    <col min="7691" max="7694" width="18.44140625" style="179" customWidth="1"/>
    <col min="7695" max="7695" width="27.88671875" style="179" customWidth="1"/>
    <col min="7696" max="7696" width="9.109375" style="179"/>
    <col min="7697" max="7697" width="12.6640625" style="179" bestFit="1" customWidth="1"/>
    <col min="7698" max="7941" width="9.109375" style="179"/>
    <col min="7942" max="7942" width="8.6640625" style="179" customWidth="1"/>
    <col min="7943" max="7943" width="42.44140625" style="179" customWidth="1"/>
    <col min="7944" max="7945" width="0" style="179" hidden="1" customWidth="1"/>
    <col min="7946" max="7946" width="16.44140625" style="179" customWidth="1"/>
    <col min="7947" max="7950" width="18.44140625" style="179" customWidth="1"/>
    <col min="7951" max="7951" width="27.88671875" style="179" customWidth="1"/>
    <col min="7952" max="7952" width="9.109375" style="179"/>
    <col min="7953" max="7953" width="12.6640625" style="179" bestFit="1" customWidth="1"/>
    <col min="7954" max="8197" width="9.109375" style="179"/>
    <col min="8198" max="8198" width="8.6640625" style="179" customWidth="1"/>
    <col min="8199" max="8199" width="42.44140625" style="179" customWidth="1"/>
    <col min="8200" max="8201" width="0" style="179" hidden="1" customWidth="1"/>
    <col min="8202" max="8202" width="16.44140625" style="179" customWidth="1"/>
    <col min="8203" max="8206" width="18.44140625" style="179" customWidth="1"/>
    <col min="8207" max="8207" width="27.88671875" style="179" customWidth="1"/>
    <col min="8208" max="8208" width="9.109375" style="179"/>
    <col min="8209" max="8209" width="12.6640625" style="179" bestFit="1" customWidth="1"/>
    <col min="8210" max="8453" width="9.109375" style="179"/>
    <col min="8454" max="8454" width="8.6640625" style="179" customWidth="1"/>
    <col min="8455" max="8455" width="42.44140625" style="179" customWidth="1"/>
    <col min="8456" max="8457" width="0" style="179" hidden="1" customWidth="1"/>
    <col min="8458" max="8458" width="16.44140625" style="179" customWidth="1"/>
    <col min="8459" max="8462" width="18.44140625" style="179" customWidth="1"/>
    <col min="8463" max="8463" width="27.88671875" style="179" customWidth="1"/>
    <col min="8464" max="8464" width="9.109375" style="179"/>
    <col min="8465" max="8465" width="12.6640625" style="179" bestFit="1" customWidth="1"/>
    <col min="8466" max="8709" width="9.109375" style="179"/>
    <col min="8710" max="8710" width="8.6640625" style="179" customWidth="1"/>
    <col min="8711" max="8711" width="42.44140625" style="179" customWidth="1"/>
    <col min="8712" max="8713" width="0" style="179" hidden="1" customWidth="1"/>
    <col min="8714" max="8714" width="16.44140625" style="179" customWidth="1"/>
    <col min="8715" max="8718" width="18.44140625" style="179" customWidth="1"/>
    <col min="8719" max="8719" width="27.88671875" style="179" customWidth="1"/>
    <col min="8720" max="8720" width="9.109375" style="179"/>
    <col min="8721" max="8721" width="12.6640625" style="179" bestFit="1" customWidth="1"/>
    <col min="8722" max="8965" width="9.109375" style="179"/>
    <col min="8966" max="8966" width="8.6640625" style="179" customWidth="1"/>
    <col min="8967" max="8967" width="42.44140625" style="179" customWidth="1"/>
    <col min="8968" max="8969" width="0" style="179" hidden="1" customWidth="1"/>
    <col min="8970" max="8970" width="16.44140625" style="179" customWidth="1"/>
    <col min="8971" max="8974" width="18.44140625" style="179" customWidth="1"/>
    <col min="8975" max="8975" width="27.88671875" style="179" customWidth="1"/>
    <col min="8976" max="8976" width="9.109375" style="179"/>
    <col min="8977" max="8977" width="12.6640625" style="179" bestFit="1" customWidth="1"/>
    <col min="8978" max="9221" width="9.109375" style="179"/>
    <col min="9222" max="9222" width="8.6640625" style="179" customWidth="1"/>
    <col min="9223" max="9223" width="42.44140625" style="179" customWidth="1"/>
    <col min="9224" max="9225" width="0" style="179" hidden="1" customWidth="1"/>
    <col min="9226" max="9226" width="16.44140625" style="179" customWidth="1"/>
    <col min="9227" max="9230" width="18.44140625" style="179" customWidth="1"/>
    <col min="9231" max="9231" width="27.88671875" style="179" customWidth="1"/>
    <col min="9232" max="9232" width="9.109375" style="179"/>
    <col min="9233" max="9233" width="12.6640625" style="179" bestFit="1" customWidth="1"/>
    <col min="9234" max="9477" width="9.109375" style="179"/>
    <col min="9478" max="9478" width="8.6640625" style="179" customWidth="1"/>
    <col min="9479" max="9479" width="42.44140625" style="179" customWidth="1"/>
    <col min="9480" max="9481" width="0" style="179" hidden="1" customWidth="1"/>
    <col min="9482" max="9482" width="16.44140625" style="179" customWidth="1"/>
    <col min="9483" max="9486" width="18.44140625" style="179" customWidth="1"/>
    <col min="9487" max="9487" width="27.88671875" style="179" customWidth="1"/>
    <col min="9488" max="9488" width="9.109375" style="179"/>
    <col min="9489" max="9489" width="12.6640625" style="179" bestFit="1" customWidth="1"/>
    <col min="9490" max="9733" width="9.109375" style="179"/>
    <col min="9734" max="9734" width="8.6640625" style="179" customWidth="1"/>
    <col min="9735" max="9735" width="42.44140625" style="179" customWidth="1"/>
    <col min="9736" max="9737" width="0" style="179" hidden="1" customWidth="1"/>
    <col min="9738" max="9738" width="16.44140625" style="179" customWidth="1"/>
    <col min="9739" max="9742" width="18.44140625" style="179" customWidth="1"/>
    <col min="9743" max="9743" width="27.88671875" style="179" customWidth="1"/>
    <col min="9744" max="9744" width="9.109375" style="179"/>
    <col min="9745" max="9745" width="12.6640625" style="179" bestFit="1" customWidth="1"/>
    <col min="9746" max="9989" width="9.109375" style="179"/>
    <col min="9990" max="9990" width="8.6640625" style="179" customWidth="1"/>
    <col min="9991" max="9991" width="42.44140625" style="179" customWidth="1"/>
    <col min="9992" max="9993" width="0" style="179" hidden="1" customWidth="1"/>
    <col min="9994" max="9994" width="16.44140625" style="179" customWidth="1"/>
    <col min="9995" max="9998" width="18.44140625" style="179" customWidth="1"/>
    <col min="9999" max="9999" width="27.88671875" style="179" customWidth="1"/>
    <col min="10000" max="10000" width="9.109375" style="179"/>
    <col min="10001" max="10001" width="12.6640625" style="179" bestFit="1" customWidth="1"/>
    <col min="10002" max="10245" width="9.109375" style="179"/>
    <col min="10246" max="10246" width="8.6640625" style="179" customWidth="1"/>
    <col min="10247" max="10247" width="42.44140625" style="179" customWidth="1"/>
    <col min="10248" max="10249" width="0" style="179" hidden="1" customWidth="1"/>
    <col min="10250" max="10250" width="16.44140625" style="179" customWidth="1"/>
    <col min="10251" max="10254" width="18.44140625" style="179" customWidth="1"/>
    <col min="10255" max="10255" width="27.88671875" style="179" customWidth="1"/>
    <col min="10256" max="10256" width="9.109375" style="179"/>
    <col min="10257" max="10257" width="12.6640625" style="179" bestFit="1" customWidth="1"/>
    <col min="10258" max="10501" width="9.109375" style="179"/>
    <col min="10502" max="10502" width="8.6640625" style="179" customWidth="1"/>
    <col min="10503" max="10503" width="42.44140625" style="179" customWidth="1"/>
    <col min="10504" max="10505" width="0" style="179" hidden="1" customWidth="1"/>
    <col min="10506" max="10506" width="16.44140625" style="179" customWidth="1"/>
    <col min="10507" max="10510" width="18.44140625" style="179" customWidth="1"/>
    <col min="10511" max="10511" width="27.88671875" style="179" customWidth="1"/>
    <col min="10512" max="10512" width="9.109375" style="179"/>
    <col min="10513" max="10513" width="12.6640625" style="179" bestFit="1" customWidth="1"/>
    <col min="10514" max="10757" width="9.109375" style="179"/>
    <col min="10758" max="10758" width="8.6640625" style="179" customWidth="1"/>
    <col min="10759" max="10759" width="42.44140625" style="179" customWidth="1"/>
    <col min="10760" max="10761" width="0" style="179" hidden="1" customWidth="1"/>
    <col min="10762" max="10762" width="16.44140625" style="179" customWidth="1"/>
    <col min="10763" max="10766" width="18.44140625" style="179" customWidth="1"/>
    <col min="10767" max="10767" width="27.88671875" style="179" customWidth="1"/>
    <col min="10768" max="10768" width="9.109375" style="179"/>
    <col min="10769" max="10769" width="12.6640625" style="179" bestFit="1" customWidth="1"/>
    <col min="10770" max="11013" width="9.109375" style="179"/>
    <col min="11014" max="11014" width="8.6640625" style="179" customWidth="1"/>
    <col min="11015" max="11015" width="42.44140625" style="179" customWidth="1"/>
    <col min="11016" max="11017" width="0" style="179" hidden="1" customWidth="1"/>
    <col min="11018" max="11018" width="16.44140625" style="179" customWidth="1"/>
    <col min="11019" max="11022" width="18.44140625" style="179" customWidth="1"/>
    <col min="11023" max="11023" width="27.88671875" style="179" customWidth="1"/>
    <col min="11024" max="11024" width="9.109375" style="179"/>
    <col min="11025" max="11025" width="12.6640625" style="179" bestFit="1" customWidth="1"/>
    <col min="11026" max="11269" width="9.109375" style="179"/>
    <col min="11270" max="11270" width="8.6640625" style="179" customWidth="1"/>
    <col min="11271" max="11271" width="42.44140625" style="179" customWidth="1"/>
    <col min="11272" max="11273" width="0" style="179" hidden="1" customWidth="1"/>
    <col min="11274" max="11274" width="16.44140625" style="179" customWidth="1"/>
    <col min="11275" max="11278" width="18.44140625" style="179" customWidth="1"/>
    <col min="11279" max="11279" width="27.88671875" style="179" customWidth="1"/>
    <col min="11280" max="11280" width="9.109375" style="179"/>
    <col min="11281" max="11281" width="12.6640625" style="179" bestFit="1" customWidth="1"/>
    <col min="11282" max="11525" width="9.109375" style="179"/>
    <col min="11526" max="11526" width="8.6640625" style="179" customWidth="1"/>
    <col min="11527" max="11527" width="42.44140625" style="179" customWidth="1"/>
    <col min="11528" max="11529" width="0" style="179" hidden="1" customWidth="1"/>
    <col min="11530" max="11530" width="16.44140625" style="179" customWidth="1"/>
    <col min="11531" max="11534" width="18.44140625" style="179" customWidth="1"/>
    <col min="11535" max="11535" width="27.88671875" style="179" customWidth="1"/>
    <col min="11536" max="11536" width="9.109375" style="179"/>
    <col min="11537" max="11537" width="12.6640625" style="179" bestFit="1" customWidth="1"/>
    <col min="11538" max="11781" width="9.109375" style="179"/>
    <col min="11782" max="11782" width="8.6640625" style="179" customWidth="1"/>
    <col min="11783" max="11783" width="42.44140625" style="179" customWidth="1"/>
    <col min="11784" max="11785" width="0" style="179" hidden="1" customWidth="1"/>
    <col min="11786" max="11786" width="16.44140625" style="179" customWidth="1"/>
    <col min="11787" max="11790" width="18.44140625" style="179" customWidth="1"/>
    <col min="11791" max="11791" width="27.88671875" style="179" customWidth="1"/>
    <col min="11792" max="11792" width="9.109375" style="179"/>
    <col min="11793" max="11793" width="12.6640625" style="179" bestFit="1" customWidth="1"/>
    <col min="11794" max="12037" width="9.109375" style="179"/>
    <col min="12038" max="12038" width="8.6640625" style="179" customWidth="1"/>
    <col min="12039" max="12039" width="42.44140625" style="179" customWidth="1"/>
    <col min="12040" max="12041" width="0" style="179" hidden="1" customWidth="1"/>
    <col min="12042" max="12042" width="16.44140625" style="179" customWidth="1"/>
    <col min="12043" max="12046" width="18.44140625" style="179" customWidth="1"/>
    <col min="12047" max="12047" width="27.88671875" style="179" customWidth="1"/>
    <col min="12048" max="12048" width="9.109375" style="179"/>
    <col min="12049" max="12049" width="12.6640625" style="179" bestFit="1" customWidth="1"/>
    <col min="12050" max="12293" width="9.109375" style="179"/>
    <col min="12294" max="12294" width="8.6640625" style="179" customWidth="1"/>
    <col min="12295" max="12295" width="42.44140625" style="179" customWidth="1"/>
    <col min="12296" max="12297" width="0" style="179" hidden="1" customWidth="1"/>
    <col min="12298" max="12298" width="16.44140625" style="179" customWidth="1"/>
    <col min="12299" max="12302" width="18.44140625" style="179" customWidth="1"/>
    <col min="12303" max="12303" width="27.88671875" style="179" customWidth="1"/>
    <col min="12304" max="12304" width="9.109375" style="179"/>
    <col min="12305" max="12305" width="12.6640625" style="179" bestFit="1" customWidth="1"/>
    <col min="12306" max="12549" width="9.109375" style="179"/>
    <col min="12550" max="12550" width="8.6640625" style="179" customWidth="1"/>
    <col min="12551" max="12551" width="42.44140625" style="179" customWidth="1"/>
    <col min="12552" max="12553" width="0" style="179" hidden="1" customWidth="1"/>
    <col min="12554" max="12554" width="16.44140625" style="179" customWidth="1"/>
    <col min="12555" max="12558" width="18.44140625" style="179" customWidth="1"/>
    <col min="12559" max="12559" width="27.88671875" style="179" customWidth="1"/>
    <col min="12560" max="12560" width="9.109375" style="179"/>
    <col min="12561" max="12561" width="12.6640625" style="179" bestFit="1" customWidth="1"/>
    <col min="12562" max="12805" width="9.109375" style="179"/>
    <col min="12806" max="12806" width="8.6640625" style="179" customWidth="1"/>
    <col min="12807" max="12807" width="42.44140625" style="179" customWidth="1"/>
    <col min="12808" max="12809" width="0" style="179" hidden="1" customWidth="1"/>
    <col min="12810" max="12810" width="16.44140625" style="179" customWidth="1"/>
    <col min="12811" max="12814" width="18.44140625" style="179" customWidth="1"/>
    <col min="12815" max="12815" width="27.88671875" style="179" customWidth="1"/>
    <col min="12816" max="12816" width="9.109375" style="179"/>
    <col min="12817" max="12817" width="12.6640625" style="179" bestFit="1" customWidth="1"/>
    <col min="12818" max="13061" width="9.109375" style="179"/>
    <col min="13062" max="13062" width="8.6640625" style="179" customWidth="1"/>
    <col min="13063" max="13063" width="42.44140625" style="179" customWidth="1"/>
    <col min="13064" max="13065" width="0" style="179" hidden="1" customWidth="1"/>
    <col min="13066" max="13066" width="16.44140625" style="179" customWidth="1"/>
    <col min="13067" max="13070" width="18.44140625" style="179" customWidth="1"/>
    <col min="13071" max="13071" width="27.88671875" style="179" customWidth="1"/>
    <col min="13072" max="13072" width="9.109375" style="179"/>
    <col min="13073" max="13073" width="12.6640625" style="179" bestFit="1" customWidth="1"/>
    <col min="13074" max="13317" width="9.109375" style="179"/>
    <col min="13318" max="13318" width="8.6640625" style="179" customWidth="1"/>
    <col min="13319" max="13319" width="42.44140625" style="179" customWidth="1"/>
    <col min="13320" max="13321" width="0" style="179" hidden="1" customWidth="1"/>
    <col min="13322" max="13322" width="16.44140625" style="179" customWidth="1"/>
    <col min="13323" max="13326" width="18.44140625" style="179" customWidth="1"/>
    <col min="13327" max="13327" width="27.88671875" style="179" customWidth="1"/>
    <col min="13328" max="13328" width="9.109375" style="179"/>
    <col min="13329" max="13329" width="12.6640625" style="179" bestFit="1" customWidth="1"/>
    <col min="13330" max="13573" width="9.109375" style="179"/>
    <col min="13574" max="13574" width="8.6640625" style="179" customWidth="1"/>
    <col min="13575" max="13575" width="42.44140625" style="179" customWidth="1"/>
    <col min="13576" max="13577" width="0" style="179" hidden="1" customWidth="1"/>
    <col min="13578" max="13578" width="16.44140625" style="179" customWidth="1"/>
    <col min="13579" max="13582" width="18.44140625" style="179" customWidth="1"/>
    <col min="13583" max="13583" width="27.88671875" style="179" customWidth="1"/>
    <col min="13584" max="13584" width="9.109375" style="179"/>
    <col min="13585" max="13585" width="12.6640625" style="179" bestFit="1" customWidth="1"/>
    <col min="13586" max="13829" width="9.109375" style="179"/>
    <col min="13830" max="13830" width="8.6640625" style="179" customWidth="1"/>
    <col min="13831" max="13831" width="42.44140625" style="179" customWidth="1"/>
    <col min="13832" max="13833" width="0" style="179" hidden="1" customWidth="1"/>
    <col min="13834" max="13834" width="16.44140625" style="179" customWidth="1"/>
    <col min="13835" max="13838" width="18.44140625" style="179" customWidth="1"/>
    <col min="13839" max="13839" width="27.88671875" style="179" customWidth="1"/>
    <col min="13840" max="13840" width="9.109375" style="179"/>
    <col min="13841" max="13841" width="12.6640625" style="179" bestFit="1" customWidth="1"/>
    <col min="13842" max="14085" width="9.109375" style="179"/>
    <col min="14086" max="14086" width="8.6640625" style="179" customWidth="1"/>
    <col min="14087" max="14087" width="42.44140625" style="179" customWidth="1"/>
    <col min="14088" max="14089" width="0" style="179" hidden="1" customWidth="1"/>
    <col min="14090" max="14090" width="16.44140625" style="179" customWidth="1"/>
    <col min="14091" max="14094" width="18.44140625" style="179" customWidth="1"/>
    <col min="14095" max="14095" width="27.88671875" style="179" customWidth="1"/>
    <col min="14096" max="14096" width="9.109375" style="179"/>
    <col min="14097" max="14097" width="12.6640625" style="179" bestFit="1" customWidth="1"/>
    <col min="14098" max="14341" width="9.109375" style="179"/>
    <col min="14342" max="14342" width="8.6640625" style="179" customWidth="1"/>
    <col min="14343" max="14343" width="42.44140625" style="179" customWidth="1"/>
    <col min="14344" max="14345" width="0" style="179" hidden="1" customWidth="1"/>
    <col min="14346" max="14346" width="16.44140625" style="179" customWidth="1"/>
    <col min="14347" max="14350" width="18.44140625" style="179" customWidth="1"/>
    <col min="14351" max="14351" width="27.88671875" style="179" customWidth="1"/>
    <col min="14352" max="14352" width="9.109375" style="179"/>
    <col min="14353" max="14353" width="12.6640625" style="179" bestFit="1" customWidth="1"/>
    <col min="14354" max="14597" width="9.109375" style="179"/>
    <col min="14598" max="14598" width="8.6640625" style="179" customWidth="1"/>
    <col min="14599" max="14599" width="42.44140625" style="179" customWidth="1"/>
    <col min="14600" max="14601" width="0" style="179" hidden="1" customWidth="1"/>
    <col min="14602" max="14602" width="16.44140625" style="179" customWidth="1"/>
    <col min="14603" max="14606" width="18.44140625" style="179" customWidth="1"/>
    <col min="14607" max="14607" width="27.88671875" style="179" customWidth="1"/>
    <col min="14608" max="14608" width="9.109375" style="179"/>
    <col min="14609" max="14609" width="12.6640625" style="179" bestFit="1" customWidth="1"/>
    <col min="14610" max="14853" width="9.109375" style="179"/>
    <col min="14854" max="14854" width="8.6640625" style="179" customWidth="1"/>
    <col min="14855" max="14855" width="42.44140625" style="179" customWidth="1"/>
    <col min="14856" max="14857" width="0" style="179" hidden="1" customWidth="1"/>
    <col min="14858" max="14858" width="16.44140625" style="179" customWidth="1"/>
    <col min="14859" max="14862" width="18.44140625" style="179" customWidth="1"/>
    <col min="14863" max="14863" width="27.88671875" style="179" customWidth="1"/>
    <col min="14864" max="14864" width="9.109375" style="179"/>
    <col min="14865" max="14865" width="12.6640625" style="179" bestFit="1" customWidth="1"/>
    <col min="14866" max="15109" width="9.109375" style="179"/>
    <col min="15110" max="15110" width="8.6640625" style="179" customWidth="1"/>
    <col min="15111" max="15111" width="42.44140625" style="179" customWidth="1"/>
    <col min="15112" max="15113" width="0" style="179" hidden="1" customWidth="1"/>
    <col min="15114" max="15114" width="16.44140625" style="179" customWidth="1"/>
    <col min="15115" max="15118" width="18.44140625" style="179" customWidth="1"/>
    <col min="15119" max="15119" width="27.88671875" style="179" customWidth="1"/>
    <col min="15120" max="15120" width="9.109375" style="179"/>
    <col min="15121" max="15121" width="12.6640625" style="179" bestFit="1" customWidth="1"/>
    <col min="15122" max="15365" width="9.109375" style="179"/>
    <col min="15366" max="15366" width="8.6640625" style="179" customWidth="1"/>
    <col min="15367" max="15367" width="42.44140625" style="179" customWidth="1"/>
    <col min="15368" max="15369" width="0" style="179" hidden="1" customWidth="1"/>
    <col min="15370" max="15370" width="16.44140625" style="179" customWidth="1"/>
    <col min="15371" max="15374" width="18.44140625" style="179" customWidth="1"/>
    <col min="15375" max="15375" width="27.88671875" style="179" customWidth="1"/>
    <col min="15376" max="15376" width="9.109375" style="179"/>
    <col min="15377" max="15377" width="12.6640625" style="179" bestFit="1" customWidth="1"/>
    <col min="15378" max="15621" width="9.109375" style="179"/>
    <col min="15622" max="15622" width="8.6640625" style="179" customWidth="1"/>
    <col min="15623" max="15623" width="42.44140625" style="179" customWidth="1"/>
    <col min="15624" max="15625" width="0" style="179" hidden="1" customWidth="1"/>
    <col min="15626" max="15626" width="16.44140625" style="179" customWidth="1"/>
    <col min="15627" max="15630" width="18.44140625" style="179" customWidth="1"/>
    <col min="15631" max="15631" width="27.88671875" style="179" customWidth="1"/>
    <col min="15632" max="15632" width="9.109375" style="179"/>
    <col min="15633" max="15633" width="12.6640625" style="179" bestFit="1" customWidth="1"/>
    <col min="15634" max="15877" width="9.109375" style="179"/>
    <col min="15878" max="15878" width="8.6640625" style="179" customWidth="1"/>
    <col min="15879" max="15879" width="42.44140625" style="179" customWidth="1"/>
    <col min="15880" max="15881" width="0" style="179" hidden="1" customWidth="1"/>
    <col min="15882" max="15882" width="16.44140625" style="179" customWidth="1"/>
    <col min="15883" max="15886" width="18.44140625" style="179" customWidth="1"/>
    <col min="15887" max="15887" width="27.88671875" style="179" customWidth="1"/>
    <col min="15888" max="15888" width="9.109375" style="179"/>
    <col min="15889" max="15889" width="12.6640625" style="179" bestFit="1" customWidth="1"/>
    <col min="15890" max="16133" width="9.109375" style="179"/>
    <col min="16134" max="16134" width="8.6640625" style="179" customWidth="1"/>
    <col min="16135" max="16135" width="42.44140625" style="179" customWidth="1"/>
    <col min="16136" max="16137" width="0" style="179" hidden="1" customWidth="1"/>
    <col min="16138" max="16138" width="16.44140625" style="179" customWidth="1"/>
    <col min="16139" max="16142" width="18.44140625" style="179" customWidth="1"/>
    <col min="16143" max="16143" width="27.88671875" style="179" customWidth="1"/>
    <col min="16144" max="16144" width="9.109375" style="179"/>
    <col min="16145" max="16145" width="12.6640625" style="179" bestFit="1" customWidth="1"/>
    <col min="16146" max="16384" width="9.109375" style="179"/>
  </cols>
  <sheetData>
    <row r="1" spans="2:16" ht="5.4" customHeight="1" thickBot="1" x14ac:dyDescent="0.35"/>
    <row r="2" spans="2:16" s="121" customFormat="1" x14ac:dyDescent="0.3">
      <c r="B2" s="521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3"/>
      <c r="P2" s="122"/>
    </row>
    <row r="3" spans="2:16" s="121" customFormat="1" x14ac:dyDescent="0.3">
      <c r="B3" s="180"/>
      <c r="C3" s="181"/>
      <c r="D3" s="181"/>
      <c r="E3" s="275"/>
      <c r="F3" s="275"/>
      <c r="G3" s="329"/>
      <c r="H3" s="329"/>
      <c r="I3" s="329"/>
      <c r="J3" s="300"/>
      <c r="K3" s="300"/>
      <c r="L3" s="181"/>
      <c r="M3" s="181"/>
      <c r="N3" s="181"/>
      <c r="O3" s="123"/>
      <c r="P3" s="122"/>
    </row>
    <row r="4" spans="2:16" s="121" customFormat="1" x14ac:dyDescent="0.3">
      <c r="B4" s="180"/>
      <c r="C4" s="181"/>
      <c r="D4" s="181"/>
      <c r="E4" s="275"/>
      <c r="F4" s="275"/>
      <c r="G4" s="329"/>
      <c r="H4" s="329"/>
      <c r="I4" s="329"/>
      <c r="J4" s="300"/>
      <c r="K4" s="300"/>
      <c r="L4" s="181"/>
      <c r="M4" s="181"/>
      <c r="N4" s="181"/>
      <c r="O4" s="123"/>
      <c r="P4" s="122"/>
    </row>
    <row r="5" spans="2:16" s="121" customFormat="1" x14ac:dyDescent="0.3">
      <c r="B5" s="524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6"/>
      <c r="P5" s="122"/>
    </row>
    <row r="6" spans="2:16" s="121" customFormat="1" x14ac:dyDescent="0.3">
      <c r="B6" s="524"/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O6" s="526"/>
      <c r="P6" s="122"/>
    </row>
    <row r="7" spans="2:16" s="121" customFormat="1" x14ac:dyDescent="0.3">
      <c r="B7" s="524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6"/>
      <c r="P7" s="122"/>
    </row>
    <row r="8" spans="2:16" s="121" customFormat="1" ht="14.4" customHeight="1" thickBot="1" x14ac:dyDescent="0.35">
      <c r="B8" s="527"/>
      <c r="C8" s="528"/>
      <c r="D8" s="528"/>
      <c r="E8" s="528"/>
      <c r="F8" s="528"/>
      <c r="G8" s="528"/>
      <c r="H8" s="528"/>
      <c r="I8" s="528"/>
      <c r="J8" s="528"/>
      <c r="K8" s="528"/>
      <c r="L8" s="528"/>
      <c r="M8" s="528"/>
      <c r="N8" s="528"/>
      <c r="O8" s="529"/>
      <c r="P8" s="122"/>
    </row>
    <row r="9" spans="2:16" s="121" customFormat="1" ht="3.75" customHeight="1" thickBot="1" x14ac:dyDescent="0.35">
      <c r="B9" s="182"/>
      <c r="C9" s="182"/>
      <c r="D9" s="182"/>
      <c r="E9" s="182"/>
      <c r="F9" s="182"/>
      <c r="G9" s="182"/>
      <c r="H9" s="182"/>
      <c r="I9" s="182"/>
      <c r="J9" s="183"/>
      <c r="K9" s="183"/>
      <c r="L9" s="182"/>
      <c r="M9" s="182"/>
      <c r="N9" s="182"/>
      <c r="O9" s="183"/>
      <c r="P9" s="184"/>
    </row>
    <row r="10" spans="2:16" s="121" customFormat="1" ht="21.6" thickBot="1" x14ac:dyDescent="0.45">
      <c r="B10" s="518" t="s">
        <v>220</v>
      </c>
      <c r="C10" s="519"/>
      <c r="D10" s="519"/>
      <c r="E10" s="519"/>
      <c r="F10" s="519"/>
      <c r="G10" s="519"/>
      <c r="H10" s="519"/>
      <c r="I10" s="519"/>
      <c r="J10" s="519"/>
      <c r="K10" s="519"/>
      <c r="L10" s="519"/>
      <c r="M10" s="519"/>
      <c r="N10" s="519"/>
      <c r="O10" s="520"/>
      <c r="P10" s="185"/>
    </row>
    <row r="11" spans="2:16" s="121" customFormat="1" ht="3.75" customHeight="1" thickBot="1" x14ac:dyDescent="0.35">
      <c r="B11" s="186"/>
      <c r="C11" s="186"/>
      <c r="D11" s="186"/>
      <c r="E11" s="186"/>
      <c r="F11" s="186"/>
      <c r="G11" s="186"/>
      <c r="H11" s="186"/>
      <c r="I11" s="186"/>
      <c r="J11" s="301"/>
      <c r="K11" s="301"/>
      <c r="L11" s="186"/>
      <c r="M11" s="186"/>
      <c r="N11" s="186"/>
      <c r="O11" s="186"/>
      <c r="P11" s="184"/>
    </row>
    <row r="12" spans="2:16" s="295" customFormat="1" ht="20.100000000000001" customHeight="1" x14ac:dyDescent="0.3">
      <c r="B12" s="497" t="str">
        <f>'PLANILHA ORÇAMENTÁRIA'!$A$4</f>
        <v>CONTRATANTE: MUNICÍPIO DE IBERTIOGA-MG.</v>
      </c>
      <c r="C12" s="498"/>
      <c r="D12" s="498"/>
      <c r="E12" s="498"/>
      <c r="F12" s="498"/>
      <c r="G12" s="498"/>
      <c r="H12" s="498"/>
      <c r="I12" s="498"/>
      <c r="J12" s="498"/>
      <c r="K12" s="498"/>
      <c r="L12" s="498"/>
      <c r="M12" s="294"/>
      <c r="N12" s="512" t="str">
        <f>'PLANILHA ORÇAMENTÁRIA'!H4</f>
        <v>DATA:  12/09/2024</v>
      </c>
      <c r="O12" s="513"/>
      <c r="P12" s="418"/>
    </row>
    <row r="13" spans="2:16" s="295" customFormat="1" ht="20.100000000000001" customHeight="1" x14ac:dyDescent="0.3">
      <c r="B13" s="499" t="str">
        <f>'PLANILHA ORÇAMENTÁRIA'!$A$5</f>
        <v>OBRA: IMPLANTAÇÃO DE SISTEMAS SIMPLIFICADOS DE ABASTACIMENTO DE ÁGUA - 04 (QUATRO) POÇOS TUBULARES PROFUNDOS.</v>
      </c>
      <c r="C13" s="500"/>
      <c r="D13" s="500"/>
      <c r="E13" s="500"/>
      <c r="F13" s="500"/>
      <c r="G13" s="500"/>
      <c r="H13" s="500"/>
      <c r="I13" s="500"/>
      <c r="J13" s="500"/>
      <c r="K13" s="500"/>
      <c r="L13" s="500"/>
      <c r="M13" s="296"/>
      <c r="N13" s="514"/>
      <c r="O13" s="515"/>
      <c r="P13" s="419"/>
    </row>
    <row r="14" spans="2:16" s="295" customFormat="1" ht="20.100000000000001" customHeight="1" thickBot="1" x14ac:dyDescent="0.35">
      <c r="B14" s="297" t="str">
        <f>'PLANILHA ORÇAMENTÁRIA'!$A$6</f>
        <v>LOCALIDADES: 1 - ESTRADA DE ACESSO - COMUNIDADE AGUADA; 2 - COMUNIDADE CAPOEIRAS; 3 - COMUNIDADE FLORENÇA; E 4 - COMUNIDADE DE PORTEIRINHAS (1ª ETAPA) - ZONA RURAL - IBERTIOGA-MG</v>
      </c>
      <c r="C14" s="298"/>
      <c r="D14" s="298"/>
      <c r="E14" s="298"/>
      <c r="F14" s="298"/>
      <c r="G14" s="298"/>
      <c r="H14" s="298"/>
      <c r="I14" s="298"/>
      <c r="J14" s="302"/>
      <c r="K14" s="302"/>
      <c r="L14" s="298"/>
      <c r="M14" s="298"/>
      <c r="N14" s="516"/>
      <c r="O14" s="517"/>
      <c r="P14" s="419"/>
    </row>
    <row r="15" spans="2:16" ht="4.2" customHeight="1" thickBot="1" x14ac:dyDescent="0.35"/>
    <row r="16" spans="2:16" s="187" customFormat="1" ht="55.2" customHeight="1" x14ac:dyDescent="0.3">
      <c r="B16" s="501"/>
      <c r="C16" s="501"/>
      <c r="D16" s="504" t="s">
        <v>226</v>
      </c>
      <c r="E16" s="505"/>
      <c r="F16" s="505"/>
      <c r="G16" s="495" t="s">
        <v>279</v>
      </c>
      <c r="H16" s="505"/>
      <c r="I16" s="511"/>
      <c r="J16" s="510"/>
      <c r="K16" s="510"/>
      <c r="L16" s="286" t="s">
        <v>227</v>
      </c>
      <c r="M16" s="287" t="s">
        <v>236</v>
      </c>
      <c r="N16" s="495" t="s">
        <v>246</v>
      </c>
      <c r="O16" s="496"/>
    </row>
    <row r="17" spans="2:20" s="187" customFormat="1" ht="71.400000000000006" customHeight="1" x14ac:dyDescent="0.3">
      <c r="B17" s="502"/>
      <c r="C17" s="502"/>
      <c r="D17" s="190" t="s">
        <v>228</v>
      </c>
      <c r="E17" s="506" t="s">
        <v>239</v>
      </c>
      <c r="F17" s="507"/>
      <c r="G17" s="506" t="s">
        <v>352</v>
      </c>
      <c r="H17" s="507"/>
      <c r="I17" s="339">
        <v>75</v>
      </c>
      <c r="J17" s="333" t="s">
        <v>282</v>
      </c>
      <c r="K17" s="333" t="s">
        <v>244</v>
      </c>
      <c r="L17" s="190" t="s">
        <v>228</v>
      </c>
      <c r="M17" s="188" t="s">
        <v>237</v>
      </c>
      <c r="N17" s="351">
        <v>5000</v>
      </c>
      <c r="O17" s="274" t="s">
        <v>302</v>
      </c>
    </row>
    <row r="18" spans="2:20" s="187" customFormat="1" ht="46.8" x14ac:dyDescent="0.3">
      <c r="B18" s="502"/>
      <c r="C18" s="502"/>
      <c r="D18" s="190" t="s">
        <v>221</v>
      </c>
      <c r="E18" s="508" t="s">
        <v>242</v>
      </c>
      <c r="F18" s="509"/>
      <c r="G18" s="332" t="s">
        <v>268</v>
      </c>
      <c r="H18" s="332" t="s">
        <v>280</v>
      </c>
      <c r="I18" s="331" t="s">
        <v>281</v>
      </c>
      <c r="J18" s="333" t="s">
        <v>353</v>
      </c>
      <c r="K18" s="333" t="s">
        <v>245</v>
      </c>
      <c r="L18" s="190" t="s">
        <v>221</v>
      </c>
      <c r="M18" s="190" t="s">
        <v>222</v>
      </c>
      <c r="N18" s="188" t="s">
        <v>229</v>
      </c>
      <c r="O18" s="189" t="s">
        <v>222</v>
      </c>
    </row>
    <row r="19" spans="2:20" s="187" customFormat="1" ht="15.6" x14ac:dyDescent="0.3">
      <c r="B19" s="502"/>
      <c r="C19" s="502"/>
      <c r="D19" s="190"/>
      <c r="E19" s="190" t="s">
        <v>240</v>
      </c>
      <c r="F19" s="188" t="s">
        <v>241</v>
      </c>
      <c r="G19" s="330" t="s">
        <v>221</v>
      </c>
      <c r="H19" s="330" t="s">
        <v>221</v>
      </c>
      <c r="I19" s="188" t="s">
        <v>289</v>
      </c>
      <c r="J19" s="340" t="s">
        <v>221</v>
      </c>
      <c r="K19" s="340" t="s">
        <v>221</v>
      </c>
      <c r="L19" s="190"/>
      <c r="M19" s="190"/>
      <c r="N19" s="188"/>
      <c r="O19" s="189"/>
    </row>
    <row r="20" spans="2:20" s="187" customFormat="1" ht="16.2" thickBot="1" x14ac:dyDescent="0.35">
      <c r="B20" s="503"/>
      <c r="C20" s="503"/>
      <c r="D20" s="192"/>
      <c r="E20" s="192"/>
      <c r="F20" s="191"/>
      <c r="G20" s="192"/>
      <c r="H20" s="192"/>
      <c r="I20" s="191"/>
      <c r="J20" s="303"/>
      <c r="K20" s="303"/>
      <c r="L20" s="191"/>
      <c r="M20" s="191"/>
      <c r="N20" s="191"/>
      <c r="O20" s="193"/>
    </row>
    <row r="21" spans="2:20" s="187" customFormat="1" ht="15.6" x14ac:dyDescent="0.3">
      <c r="B21" s="194"/>
      <c r="C21" s="195"/>
      <c r="D21" s="196"/>
      <c r="E21" s="280"/>
      <c r="F21" s="197"/>
      <c r="G21" s="197"/>
      <c r="H21" s="197"/>
      <c r="I21" s="197"/>
      <c r="J21" s="304"/>
      <c r="K21" s="304"/>
      <c r="L21" s="198"/>
      <c r="M21" s="198"/>
      <c r="N21" s="198"/>
      <c r="O21" s="199"/>
      <c r="P21" s="200"/>
    </row>
    <row r="22" spans="2:20" s="187" customFormat="1" ht="15.6" x14ac:dyDescent="0.3">
      <c r="B22" s="201">
        <v>1</v>
      </c>
      <c r="C22" s="202" t="s">
        <v>223</v>
      </c>
      <c r="D22" s="204">
        <v>255.35</v>
      </c>
      <c r="E22" s="281">
        <v>1121.5</v>
      </c>
      <c r="F22" s="276">
        <v>1150</v>
      </c>
      <c r="G22" s="203">
        <f>(F22-E22)+$I$17</f>
        <v>103.5</v>
      </c>
      <c r="H22" s="203">
        <f>D22+$I$17</f>
        <v>330.35</v>
      </c>
      <c r="I22" s="203">
        <v>5</v>
      </c>
      <c r="J22" s="267">
        <f>$I$17*3</f>
        <v>225</v>
      </c>
      <c r="K22" s="267">
        <f>D22</f>
        <v>255.35</v>
      </c>
      <c r="L22" s="203">
        <f>347.19+173.73</f>
        <v>520.91999999999996</v>
      </c>
      <c r="M22" s="203">
        <v>0</v>
      </c>
      <c r="N22" s="208">
        <v>1</v>
      </c>
      <c r="O22" s="205">
        <f>(N22)*(2.5*2.5)</f>
        <v>6.25</v>
      </c>
      <c r="P22" s="200"/>
    </row>
    <row r="23" spans="2:20" s="187" customFormat="1" ht="15.6" x14ac:dyDescent="0.3">
      <c r="B23" s="194"/>
      <c r="C23" s="195"/>
      <c r="D23" s="196"/>
      <c r="E23" s="280"/>
      <c r="F23" s="197"/>
      <c r="G23" s="203"/>
      <c r="H23" s="203"/>
      <c r="I23" s="203"/>
      <c r="J23" s="267"/>
      <c r="K23" s="267"/>
      <c r="L23" s="203"/>
      <c r="M23" s="198"/>
      <c r="N23" s="208"/>
      <c r="O23" s="205"/>
      <c r="P23" s="200"/>
    </row>
    <row r="24" spans="2:20" s="187" customFormat="1" ht="15.6" x14ac:dyDescent="0.3">
      <c r="B24" s="201">
        <v>2</v>
      </c>
      <c r="C24" s="202" t="s">
        <v>224</v>
      </c>
      <c r="D24" s="204">
        <v>109.75</v>
      </c>
      <c r="E24" s="283">
        <v>1040</v>
      </c>
      <c r="F24" s="276">
        <v>1073</v>
      </c>
      <c r="G24" s="203">
        <f>(F24-E24)+$I$17</f>
        <v>108</v>
      </c>
      <c r="H24" s="203">
        <f>D24+$I$17</f>
        <v>184.75</v>
      </c>
      <c r="I24" s="203">
        <v>5</v>
      </c>
      <c r="J24" s="267">
        <f>$I$17*3</f>
        <v>225</v>
      </c>
      <c r="K24" s="267">
        <f>D24</f>
        <v>109.75</v>
      </c>
      <c r="L24" s="203">
        <f>315.26+421.21+688.1</f>
        <v>1424.5700000000002</v>
      </c>
      <c r="M24" s="203">
        <v>0</v>
      </c>
      <c r="N24" s="208">
        <v>1</v>
      </c>
      <c r="O24" s="205">
        <f>(N24)*(2.5*2.5)</f>
        <v>6.25</v>
      </c>
      <c r="P24" s="200"/>
    </row>
    <row r="25" spans="2:20" s="187" customFormat="1" ht="15.6" x14ac:dyDescent="0.3">
      <c r="B25" s="194"/>
      <c r="C25" s="195"/>
      <c r="D25" s="196"/>
      <c r="E25" s="280"/>
      <c r="F25" s="197"/>
      <c r="G25" s="203"/>
      <c r="H25" s="203"/>
      <c r="I25" s="203"/>
      <c r="J25" s="267"/>
      <c r="K25" s="267"/>
      <c r="L25" s="203"/>
      <c r="M25" s="198"/>
      <c r="N25" s="239"/>
      <c r="O25" s="205"/>
      <c r="P25" s="200"/>
    </row>
    <row r="26" spans="2:20" s="187" customFormat="1" ht="15.6" x14ac:dyDescent="0.3">
      <c r="B26" s="201">
        <v>3</v>
      </c>
      <c r="C26" s="206" t="s">
        <v>225</v>
      </c>
      <c r="D26" s="204">
        <f>28.9+362.77</f>
        <v>391.66999999999996</v>
      </c>
      <c r="E26" s="281">
        <v>1083</v>
      </c>
      <c r="F26" s="276">
        <v>1100</v>
      </c>
      <c r="G26" s="203">
        <f>(F26-E26)+$I$17</f>
        <v>92</v>
      </c>
      <c r="H26" s="203">
        <f>D26+$I$17</f>
        <v>466.66999999999996</v>
      </c>
      <c r="I26" s="203">
        <v>5</v>
      </c>
      <c r="J26" s="267">
        <f>$I$17*3</f>
        <v>225</v>
      </c>
      <c r="K26" s="267">
        <f>D26</f>
        <v>391.66999999999996</v>
      </c>
      <c r="L26" s="267">
        <v>0</v>
      </c>
      <c r="M26" s="203">
        <v>0</v>
      </c>
      <c r="N26" s="208">
        <v>0</v>
      </c>
      <c r="O26" s="205">
        <f>(N26)*(2.5*2.5)</f>
        <v>0</v>
      </c>
      <c r="P26" s="200"/>
    </row>
    <row r="27" spans="2:20" s="187" customFormat="1" ht="15.6" x14ac:dyDescent="0.3">
      <c r="B27" s="407"/>
      <c r="C27" s="408"/>
      <c r="D27" s="409"/>
      <c r="E27" s="410"/>
      <c r="F27" s="411"/>
      <c r="G27" s="203"/>
      <c r="H27" s="203"/>
      <c r="I27" s="203"/>
      <c r="J27" s="267"/>
      <c r="K27" s="267"/>
      <c r="L27" s="267"/>
      <c r="M27" s="208"/>
      <c r="N27" s="239"/>
      <c r="O27" s="205"/>
      <c r="P27" s="200"/>
    </row>
    <row r="28" spans="2:20" s="268" customFormat="1" ht="15.6" x14ac:dyDescent="0.3">
      <c r="B28" s="412">
        <v>4</v>
      </c>
      <c r="C28" s="413" t="s">
        <v>414</v>
      </c>
      <c r="D28" s="414">
        <v>297.97000000000003</v>
      </c>
      <c r="E28" s="283">
        <v>1102</v>
      </c>
      <c r="F28" s="415">
        <v>1143</v>
      </c>
      <c r="G28" s="203">
        <f>(F28-E28)+$I$17</f>
        <v>116</v>
      </c>
      <c r="H28" s="203">
        <f>D28+$I$17</f>
        <v>372.97</v>
      </c>
      <c r="I28" s="203">
        <v>5</v>
      </c>
      <c r="J28" s="267">
        <f>$I$17*3</f>
        <v>225</v>
      </c>
      <c r="K28" s="267">
        <f>D28</f>
        <v>297.97000000000003</v>
      </c>
      <c r="L28" s="267">
        <f>267.58</f>
        <v>267.58</v>
      </c>
      <c r="M28" s="267">
        <f>0.8*(65.73+34.06+29.27+4.4+4.56+4.48+4.58+56.55+35.76+9.56+12.5)</f>
        <v>209.16</v>
      </c>
      <c r="N28" s="416">
        <v>1</v>
      </c>
      <c r="O28" s="205">
        <f>(N28)*(2.5*2.5)</f>
        <v>6.25</v>
      </c>
      <c r="P28" s="417"/>
      <c r="T28" s="267">
        <f>203.52+1258.6+104.34+65.47+543.38+147.99+302.63</f>
        <v>2625.9300000000003</v>
      </c>
    </row>
    <row r="29" spans="2:20" s="187" customFormat="1" ht="15.6" x14ac:dyDescent="0.3">
      <c r="B29" s="194"/>
      <c r="C29" s="195"/>
      <c r="D29" s="207"/>
      <c r="E29" s="282"/>
      <c r="F29" s="277"/>
      <c r="G29" s="203"/>
      <c r="H29" s="203"/>
      <c r="I29" s="203"/>
      <c r="J29" s="267"/>
      <c r="K29" s="267"/>
      <c r="L29" s="203"/>
      <c r="M29" s="209"/>
      <c r="N29" s="240"/>
      <c r="O29" s="205"/>
      <c r="P29" s="200"/>
    </row>
    <row r="30" spans="2:20" s="187" customFormat="1" ht="16.2" thickBot="1" x14ac:dyDescent="0.35">
      <c r="B30" s="210"/>
      <c r="C30" s="211"/>
      <c r="D30" s="212"/>
      <c r="E30" s="284"/>
      <c r="F30" s="278"/>
      <c r="G30" s="213"/>
      <c r="H30" s="213"/>
      <c r="I30" s="213"/>
      <c r="J30" s="305"/>
      <c r="K30" s="305"/>
      <c r="L30" s="213"/>
      <c r="M30" s="213"/>
      <c r="N30" s="213"/>
      <c r="O30" s="214"/>
      <c r="P30" s="200"/>
    </row>
    <row r="31" spans="2:20" s="187" customFormat="1" ht="15.6" x14ac:dyDescent="0.3">
      <c r="B31" s="215"/>
      <c r="C31" s="216"/>
      <c r="D31" s="217"/>
      <c r="E31" s="285"/>
      <c r="F31" s="279"/>
      <c r="G31" s="279"/>
      <c r="H31" s="279"/>
      <c r="I31" s="279"/>
      <c r="J31" s="306"/>
      <c r="K31" s="306"/>
      <c r="L31" s="218"/>
      <c r="M31" s="218"/>
      <c r="N31" s="218"/>
      <c r="O31" s="219"/>
      <c r="P31" s="200"/>
    </row>
    <row r="32" spans="2:20" s="225" customFormat="1" ht="15.6" x14ac:dyDescent="0.3">
      <c r="B32" s="220"/>
      <c r="C32" s="221" t="s">
        <v>216</v>
      </c>
      <c r="D32" s="238">
        <f>SUM(D21:D31)</f>
        <v>1054.74</v>
      </c>
      <c r="E32" s="238"/>
      <c r="F32" s="222"/>
      <c r="G32" s="222"/>
      <c r="H32" s="222"/>
      <c r="I32" s="222"/>
      <c r="J32" s="307">
        <f>SUM(J21:J31)</f>
        <v>900</v>
      </c>
      <c r="K32" s="307">
        <f t="shared" ref="K32" si="0">SUM(K21:K31)</f>
        <v>1054.74</v>
      </c>
      <c r="L32" s="222">
        <f>SUM(L21:L31)</f>
        <v>2213.0700000000002</v>
      </c>
      <c r="M32" s="222">
        <f>SUM(M21:M31)</f>
        <v>209.16</v>
      </c>
      <c r="N32" s="222">
        <f>SUM(N21:N31)</f>
        <v>3</v>
      </c>
      <c r="O32" s="223">
        <f>SUM(O21:O31)</f>
        <v>18.75</v>
      </c>
      <c r="P32" s="224"/>
    </row>
    <row r="33" spans="2:16" s="187" customFormat="1" ht="16.2" thickBot="1" x14ac:dyDescent="0.35">
      <c r="B33" s="226"/>
      <c r="C33" s="227"/>
      <c r="D33" s="229"/>
      <c r="E33" s="241"/>
      <c r="F33" s="228"/>
      <c r="G33" s="228"/>
      <c r="H33" s="228"/>
      <c r="I33" s="228"/>
      <c r="J33" s="308"/>
      <c r="K33" s="308"/>
      <c r="L33" s="228"/>
      <c r="M33" s="228"/>
      <c r="N33" s="228"/>
      <c r="O33" s="230"/>
      <c r="P33" s="200"/>
    </row>
    <row r="34" spans="2:16" s="187" customFormat="1" ht="15.6" x14ac:dyDescent="0.3">
      <c r="B34" s="231"/>
      <c r="C34" s="232"/>
      <c r="D34" s="232"/>
      <c r="E34" s="232"/>
      <c r="F34" s="232"/>
      <c r="G34" s="232"/>
      <c r="H34" s="232"/>
      <c r="I34" s="232"/>
      <c r="J34" s="309"/>
      <c r="K34" s="309"/>
      <c r="L34" s="232"/>
      <c r="M34" s="232"/>
      <c r="N34" s="232"/>
      <c r="O34" s="233"/>
    </row>
    <row r="35" spans="2:16" s="187" customFormat="1" ht="15.6" x14ac:dyDescent="0.3">
      <c r="B35" s="200" t="s">
        <v>297</v>
      </c>
      <c r="C35" s="345"/>
      <c r="D35" s="345"/>
      <c r="E35" s="345"/>
      <c r="F35" s="345"/>
      <c r="G35" s="345"/>
      <c r="H35" s="345"/>
      <c r="I35" s="345"/>
      <c r="J35" s="346"/>
      <c r="K35" s="346"/>
      <c r="L35" s="345"/>
      <c r="M35" s="345"/>
      <c r="N35" s="345"/>
      <c r="O35" s="234"/>
    </row>
    <row r="36" spans="2:16" s="187" customFormat="1" ht="15.6" x14ac:dyDescent="0.3">
      <c r="B36" s="200"/>
      <c r="C36" s="345"/>
      <c r="D36" s="345"/>
      <c r="E36" s="345"/>
      <c r="F36" s="345"/>
      <c r="G36" s="345"/>
      <c r="H36" s="345"/>
      <c r="I36" s="345"/>
      <c r="J36" s="346"/>
      <c r="K36" s="346"/>
      <c r="L36" s="345"/>
      <c r="M36" s="345"/>
      <c r="N36" s="345"/>
      <c r="O36" s="234"/>
    </row>
    <row r="37" spans="2:16" s="187" customFormat="1" ht="15.6" x14ac:dyDescent="0.3">
      <c r="B37" s="200" t="s">
        <v>299</v>
      </c>
      <c r="C37" s="345"/>
      <c r="D37" s="345"/>
      <c r="E37" s="345"/>
      <c r="F37" s="345"/>
      <c r="G37" s="345"/>
      <c r="H37" s="345"/>
      <c r="I37" s="345"/>
      <c r="J37" s="346"/>
      <c r="K37" s="346"/>
      <c r="L37" s="345"/>
      <c r="M37" s="345"/>
      <c r="N37" s="345"/>
      <c r="O37" s="234"/>
    </row>
    <row r="38" spans="2:16" s="187" customFormat="1" ht="15.6" x14ac:dyDescent="0.3">
      <c r="B38" s="352" t="s">
        <v>254</v>
      </c>
      <c r="C38" s="345" t="s">
        <v>295</v>
      </c>
      <c r="D38" s="345"/>
      <c r="E38" s="345"/>
      <c r="F38" s="345"/>
      <c r="G38" s="345"/>
      <c r="H38" s="345"/>
      <c r="I38" s="345"/>
      <c r="J38" s="346"/>
      <c r="K38" s="346"/>
      <c r="L38" s="345"/>
      <c r="M38" s="345"/>
      <c r="N38" s="345"/>
      <c r="O38" s="234"/>
    </row>
    <row r="39" spans="2:16" s="187" customFormat="1" ht="15.6" x14ac:dyDescent="0.3">
      <c r="B39" s="200"/>
      <c r="C39" s="345"/>
      <c r="D39" s="345"/>
      <c r="E39" s="345"/>
      <c r="F39" s="345"/>
      <c r="G39" s="345"/>
      <c r="H39" s="345"/>
      <c r="I39" s="345"/>
      <c r="J39" s="346"/>
      <c r="K39" s="346"/>
      <c r="L39" s="345"/>
      <c r="M39" s="345"/>
      <c r="N39" s="345"/>
      <c r="O39" s="234"/>
    </row>
    <row r="40" spans="2:16" s="187" customFormat="1" ht="16.2" thickBot="1" x14ac:dyDescent="0.35">
      <c r="B40" s="235"/>
      <c r="C40" s="236"/>
      <c r="D40" s="236"/>
      <c r="E40" s="236"/>
      <c r="F40" s="236"/>
      <c r="G40" s="236"/>
      <c r="H40" s="236"/>
      <c r="I40" s="236"/>
      <c r="J40" s="310"/>
      <c r="K40" s="310"/>
      <c r="L40" s="236"/>
      <c r="M40" s="236"/>
      <c r="N40" s="236"/>
      <c r="O40" s="237"/>
    </row>
    <row r="41" spans="2:16" s="187" customFormat="1" ht="15.6" x14ac:dyDescent="0.3">
      <c r="B41" s="200"/>
      <c r="J41" s="268"/>
      <c r="K41" s="268"/>
      <c r="O41" s="234"/>
    </row>
    <row r="42" spans="2:16" s="187" customFormat="1" ht="15.6" x14ac:dyDescent="0.3">
      <c r="B42" s="200"/>
      <c r="J42" s="268"/>
      <c r="K42" s="268"/>
      <c r="O42" s="234"/>
    </row>
    <row r="43" spans="2:16" s="187" customFormat="1" ht="15.6" x14ac:dyDescent="0.3">
      <c r="B43" s="200"/>
      <c r="J43" s="268"/>
      <c r="K43" s="268"/>
      <c r="O43" s="234"/>
    </row>
    <row r="44" spans="2:16" s="187" customFormat="1" ht="15.6" x14ac:dyDescent="0.3">
      <c r="B44" s="200"/>
      <c r="J44" s="268"/>
      <c r="K44" s="268"/>
      <c r="O44" s="234"/>
    </row>
    <row r="45" spans="2:16" s="187" customFormat="1" ht="15.6" x14ac:dyDescent="0.3">
      <c r="B45" s="200" t="str">
        <f>'PLANILHA ORÇAMENTÁRIA'!$B$104</f>
        <v>XXXXXXXXXXXXXXX</v>
      </c>
      <c r="J45" s="268"/>
      <c r="K45" s="268"/>
      <c r="L45" s="187" t="str">
        <f>'PLANILHA ORÇAMENTÁRIA'!$D$104</f>
        <v>XXXXXXXXXXXXXX</v>
      </c>
      <c r="O45" s="234"/>
    </row>
    <row r="46" spans="2:16" s="187" customFormat="1" ht="15.6" x14ac:dyDescent="0.3">
      <c r="B46" s="200" t="str">
        <f>'PLANILHA ORÇAMENTÁRIA'!$B$105</f>
        <v>ENGENHEIRO CIVIL - CREAMG NºXXXXXXXXXXXXXXX</v>
      </c>
      <c r="J46" s="268"/>
      <c r="K46" s="268"/>
      <c r="L46" s="187" t="str">
        <f>'PLANILHA ORÇAMENTÁRIA'!$D$105</f>
        <v>REPRESENTANTE LEGAL LICITANTE</v>
      </c>
      <c r="O46" s="234"/>
    </row>
    <row r="47" spans="2:16" s="187" customFormat="1" ht="15.6" x14ac:dyDescent="0.3">
      <c r="B47" s="200" t="str">
        <f>'PLANILHA ORÇAMENTÁRIA'!$B$106</f>
        <v>R. T. LICITANTE</v>
      </c>
      <c r="J47" s="268"/>
      <c r="K47" s="268"/>
      <c r="O47" s="234"/>
    </row>
    <row r="48" spans="2:16" s="187" customFormat="1" ht="16.2" thickBot="1" x14ac:dyDescent="0.35">
      <c r="B48" s="235"/>
      <c r="C48" s="236"/>
      <c r="D48" s="236"/>
      <c r="E48" s="236"/>
      <c r="F48" s="236"/>
      <c r="G48" s="236"/>
      <c r="H48" s="236"/>
      <c r="I48" s="236"/>
      <c r="J48" s="310"/>
      <c r="K48" s="310"/>
      <c r="L48" s="236"/>
      <c r="M48" s="236"/>
      <c r="N48" s="236"/>
      <c r="O48" s="237"/>
    </row>
    <row r="49" spans="10:11" s="187" customFormat="1" ht="15.6" x14ac:dyDescent="0.3">
      <c r="J49" s="268"/>
      <c r="K49" s="268"/>
    </row>
    <row r="50" spans="10:11" s="187" customFormat="1" ht="15.6" x14ac:dyDescent="0.3">
      <c r="J50" s="268"/>
      <c r="K50" s="268"/>
    </row>
  </sheetData>
  <sheetProtection algorithmName="SHA-512" hashValue="LFuTb2v8SEtZmWii6buVe6gYcDjmVQ9pkYLUZh60A26qcN5Tn7B1xSEXvbz3UZX+N/bG//EpN4oM/FhzIa4y4g==" saltValue="fDYbkZ03iOhNBTxaO7NYpw==" spinCount="100000" sheet="1" objects="1" scenarios="1"/>
  <mergeCells count="18">
    <mergeCell ref="B10:O10"/>
    <mergeCell ref="B2:O2"/>
    <mergeCell ref="B5:O5"/>
    <mergeCell ref="B6:O6"/>
    <mergeCell ref="B7:O7"/>
    <mergeCell ref="B8:O8"/>
    <mergeCell ref="N16:O16"/>
    <mergeCell ref="B12:L12"/>
    <mergeCell ref="B13:L13"/>
    <mergeCell ref="B16:B20"/>
    <mergeCell ref="C16:C20"/>
    <mergeCell ref="D16:F16"/>
    <mergeCell ref="E17:F17"/>
    <mergeCell ref="E18:F18"/>
    <mergeCell ref="J16:K16"/>
    <mergeCell ref="G16:I16"/>
    <mergeCell ref="G17:H17"/>
    <mergeCell ref="N12:O14"/>
  </mergeCells>
  <pageMargins left="0.51181102362204722" right="0.51181102362204722" top="0.78740157480314965" bottom="0.78740157480314965" header="0.31496062992125984" footer="0.31496062992125984"/>
  <pageSetup paperSize="9" scale="45" orientation="landscape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B8B3D-FA74-4D36-B087-5E6D309704F1}">
  <dimension ref="A9:L49"/>
  <sheetViews>
    <sheetView workbookViewId="0">
      <selection activeCell="M22" sqref="M22"/>
    </sheetView>
  </sheetViews>
  <sheetFormatPr defaultColWidth="8.77734375" defaultRowHeight="13.8" x14ac:dyDescent="0.3"/>
  <cols>
    <col min="1" max="1" width="8.77734375" style="72"/>
    <col min="2" max="2" width="20.44140625" style="72" customWidth="1"/>
    <col min="3" max="3" width="4" style="72" customWidth="1"/>
    <col min="4" max="7" width="6.77734375" style="72" bestFit="1" customWidth="1"/>
    <col min="8" max="8" width="10.44140625" style="72" customWidth="1"/>
    <col min="9" max="9" width="11.6640625" style="72" customWidth="1"/>
    <col min="10" max="10" width="12" style="72" customWidth="1"/>
    <col min="11" max="11" width="6.109375" style="72" customWidth="1"/>
    <col min="12" max="12" width="11.21875" style="72" customWidth="1"/>
    <col min="13" max="16384" width="8.77734375" style="72"/>
  </cols>
  <sheetData>
    <row r="9" spans="1:12" ht="18" x14ac:dyDescent="0.35">
      <c r="A9" s="538" t="s">
        <v>283</v>
      </c>
      <c r="B9" s="538"/>
      <c r="C9" s="538"/>
      <c r="D9" s="538"/>
      <c r="E9" s="538"/>
      <c r="F9" s="538"/>
      <c r="G9" s="538"/>
      <c r="H9" s="538"/>
      <c r="I9" s="538"/>
      <c r="J9" s="538"/>
      <c r="K9" s="538"/>
      <c r="L9" s="538"/>
    </row>
    <row r="10" spans="1:12" x14ac:dyDescent="0.3"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2" x14ac:dyDescent="0.3">
      <c r="B11" s="74" t="str">
        <f>'PLANILHA ORÇAMENTÁRIA'!A4</f>
        <v>CONTRATANTE: MUNICÍPIO DE IBERTIOGA-MG.</v>
      </c>
      <c r="C11" s="73"/>
      <c r="D11" s="73"/>
      <c r="E11" s="73"/>
      <c r="F11" s="73"/>
      <c r="G11" s="73"/>
      <c r="H11" s="73"/>
      <c r="I11" s="73"/>
      <c r="J11" s="73"/>
      <c r="K11" s="73"/>
    </row>
    <row r="12" spans="1:12" x14ac:dyDescent="0.3">
      <c r="B12" s="74" t="str">
        <f>'PLANILHA ORÇAMENTÁRIA'!A5</f>
        <v>OBRA: IMPLANTAÇÃO DE SISTEMAS SIMPLIFICADOS DE ABASTACIMENTO DE ÁGUA - 04 (QUATRO) POÇOS TUBULARES PROFUNDOS.</v>
      </c>
      <c r="C12" s="73"/>
      <c r="D12" s="73"/>
      <c r="E12" s="73"/>
      <c r="F12" s="73"/>
      <c r="G12" s="73"/>
      <c r="H12" s="73"/>
      <c r="I12" s="73"/>
      <c r="J12" s="73"/>
      <c r="K12" s="73"/>
    </row>
    <row r="13" spans="1:12" x14ac:dyDescent="0.3">
      <c r="B13" s="537" t="str">
        <f>'PLANILHA ORÇAMENTÁRIA'!A6</f>
        <v>LOCALIDADES: 1 - ESTRADA DE ACESSO - COMUNIDADE AGUADA; 2 - COMUNIDADE CAPOEIRAS; 3 - COMUNIDADE FLORENÇA; E 4 - COMUNIDADE DE PORTEIRINHAS (1ª ETAPA) - ZONA RURAL - IBERTIOGA-MG</v>
      </c>
      <c r="C13" s="537"/>
      <c r="D13" s="537"/>
      <c r="E13" s="537"/>
      <c r="F13" s="537"/>
      <c r="G13" s="537"/>
      <c r="H13" s="537"/>
      <c r="I13" s="537"/>
      <c r="J13" s="537"/>
      <c r="K13" s="537"/>
      <c r="L13" s="537"/>
    </row>
    <row r="14" spans="1:12" x14ac:dyDescent="0.3">
      <c r="B14" s="537"/>
      <c r="C14" s="537"/>
      <c r="D14" s="537"/>
      <c r="E14" s="537"/>
      <c r="F14" s="537"/>
      <c r="G14" s="537"/>
      <c r="H14" s="537"/>
      <c r="I14" s="537"/>
      <c r="J14" s="537"/>
      <c r="K14" s="537"/>
      <c r="L14" s="537"/>
    </row>
    <row r="15" spans="1:12" x14ac:dyDescent="0.3"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</row>
    <row r="17" spans="2:11" ht="20.25" customHeight="1" x14ac:dyDescent="0.3">
      <c r="B17" s="530" t="s">
        <v>158</v>
      </c>
      <c r="C17" s="531"/>
      <c r="D17" s="531"/>
      <c r="E17" s="531"/>
      <c r="F17" s="531"/>
      <c r="G17" s="531"/>
      <c r="H17" s="531"/>
      <c r="I17" s="531"/>
      <c r="J17" s="531"/>
      <c r="K17" s="532"/>
    </row>
    <row r="18" spans="2:11" x14ac:dyDescent="0.3">
      <c r="B18" s="533" t="s">
        <v>159</v>
      </c>
      <c r="C18" s="533" t="s">
        <v>191</v>
      </c>
      <c r="D18" s="533" t="s">
        <v>160</v>
      </c>
      <c r="E18" s="533"/>
      <c r="F18" s="533"/>
      <c r="G18" s="533"/>
      <c r="H18" s="533"/>
      <c r="I18" s="533"/>
      <c r="J18" s="533"/>
      <c r="K18" s="533" t="s">
        <v>192</v>
      </c>
    </row>
    <row r="19" spans="2:11" x14ac:dyDescent="0.3">
      <c r="B19" s="533"/>
      <c r="C19" s="533"/>
      <c r="D19" s="534" t="s">
        <v>193</v>
      </c>
      <c r="E19" s="535"/>
      <c r="F19" s="535"/>
      <c r="G19" s="535"/>
      <c r="H19" s="535" t="s">
        <v>161</v>
      </c>
      <c r="I19" s="535"/>
      <c r="J19" s="536"/>
      <c r="K19" s="533"/>
    </row>
    <row r="20" spans="2:11" ht="28.8" x14ac:dyDescent="0.3">
      <c r="B20" s="533"/>
      <c r="C20" s="533"/>
      <c r="D20" s="75">
        <v>0.02</v>
      </c>
      <c r="E20" s="88">
        <v>0.03</v>
      </c>
      <c r="F20" s="75">
        <v>0.04</v>
      </c>
      <c r="G20" s="75">
        <v>0.05</v>
      </c>
      <c r="H20" s="328" t="s">
        <v>194</v>
      </c>
      <c r="I20" s="534" t="s">
        <v>195</v>
      </c>
      <c r="J20" s="536"/>
      <c r="K20" s="533"/>
    </row>
    <row r="21" spans="2:11" ht="22.5" customHeight="1" x14ac:dyDescent="0.3">
      <c r="B21" s="76" t="s">
        <v>162</v>
      </c>
      <c r="C21" s="77" t="s">
        <v>163</v>
      </c>
      <c r="D21" s="78">
        <v>1</v>
      </c>
      <c r="E21" s="78">
        <v>1</v>
      </c>
      <c r="F21" s="78">
        <v>1</v>
      </c>
      <c r="G21" s="78">
        <v>1</v>
      </c>
      <c r="H21" s="78">
        <v>1</v>
      </c>
      <c r="I21" s="541">
        <v>1</v>
      </c>
      <c r="J21" s="542"/>
      <c r="K21" s="79"/>
    </row>
    <row r="22" spans="2:11" ht="22.5" customHeight="1" x14ac:dyDescent="0.3">
      <c r="B22" s="76" t="s">
        <v>164</v>
      </c>
      <c r="C22" s="77" t="s">
        <v>165</v>
      </c>
      <c r="D22" s="80">
        <v>5.5E-2</v>
      </c>
      <c r="E22" s="80">
        <v>5.5E-2</v>
      </c>
      <c r="F22" s="80">
        <v>5.5E-2</v>
      </c>
      <c r="G22" s="80">
        <v>5.5E-2</v>
      </c>
      <c r="H22" s="80">
        <v>3.4199999999999994E-2</v>
      </c>
      <c r="I22" s="543">
        <v>0.04</v>
      </c>
      <c r="J22" s="544"/>
      <c r="K22" s="79" t="s">
        <v>163</v>
      </c>
    </row>
    <row r="23" spans="2:11" ht="22.5" customHeight="1" x14ac:dyDescent="0.3">
      <c r="B23" s="76" t="s">
        <v>166</v>
      </c>
      <c r="C23" s="77" t="s">
        <v>167</v>
      </c>
      <c r="D23" s="80">
        <v>7.4999999999999997E-2</v>
      </c>
      <c r="E23" s="80">
        <v>7.4999999999999997E-2</v>
      </c>
      <c r="F23" s="80">
        <v>7.4999999999999997E-2</v>
      </c>
      <c r="G23" s="80">
        <v>7.4999999999999997E-2</v>
      </c>
      <c r="H23" s="81">
        <v>4.9399999999999999E-2</v>
      </c>
      <c r="I23" s="545">
        <v>6.1600000000000002E-2</v>
      </c>
      <c r="J23" s="546"/>
      <c r="K23" s="79" t="s">
        <v>163</v>
      </c>
    </row>
    <row r="24" spans="2:11" ht="22.5" customHeight="1" x14ac:dyDescent="0.3">
      <c r="B24" s="76" t="s">
        <v>168</v>
      </c>
      <c r="C24" s="77" t="s">
        <v>169</v>
      </c>
      <c r="D24" s="80">
        <v>8.3020000000000004E-3</v>
      </c>
      <c r="E24" s="80">
        <v>7.6E-3</v>
      </c>
      <c r="F24" s="80">
        <v>8.3020000000000004E-3</v>
      </c>
      <c r="G24" s="80">
        <v>8.3020000000000004E-3</v>
      </c>
      <c r="H24" s="80">
        <v>7.6E-3</v>
      </c>
      <c r="I24" s="543">
        <v>7.6E-3</v>
      </c>
      <c r="J24" s="544"/>
      <c r="K24" s="79" t="s">
        <v>163</v>
      </c>
    </row>
    <row r="25" spans="2:11" ht="22.5" customHeight="1" x14ac:dyDescent="0.3">
      <c r="B25" s="76" t="s">
        <v>170</v>
      </c>
      <c r="C25" s="82"/>
      <c r="D25" s="83">
        <f>SUM(D26:D27)</f>
        <v>2.2699999999999998E-2</v>
      </c>
      <c r="E25" s="83">
        <f>SUM(E26:E27)</f>
        <v>2.2699999999999998E-2</v>
      </c>
      <c r="F25" s="83">
        <f>SUM(F26:F27)</f>
        <v>2.2699999999999998E-2</v>
      </c>
      <c r="G25" s="83">
        <f>SUM(G26:G27)</f>
        <v>2.2699999999999998E-2</v>
      </c>
      <c r="H25" s="83">
        <f>SUM(H26:H27)</f>
        <v>1.29E-2</v>
      </c>
      <c r="I25" s="547">
        <f>SUM(I26:J27)</f>
        <v>1.77E-2</v>
      </c>
      <c r="J25" s="548"/>
      <c r="K25" s="84" t="s">
        <v>163</v>
      </c>
    </row>
    <row r="26" spans="2:11" ht="22.5" customHeight="1" x14ac:dyDescent="0.3">
      <c r="B26" s="76" t="s">
        <v>171</v>
      </c>
      <c r="C26" s="77" t="s">
        <v>172</v>
      </c>
      <c r="D26" s="80">
        <v>0.01</v>
      </c>
      <c r="E26" s="80">
        <v>0.01</v>
      </c>
      <c r="F26" s="80">
        <v>0.01</v>
      </c>
      <c r="G26" s="80">
        <v>0.01</v>
      </c>
      <c r="H26" s="80">
        <v>5.3E-3</v>
      </c>
      <c r="I26" s="543">
        <v>8.0000000000000002E-3</v>
      </c>
      <c r="J26" s="544"/>
      <c r="K26" s="79" t="s">
        <v>163</v>
      </c>
    </row>
    <row r="27" spans="2:11" ht="22.5" customHeight="1" x14ac:dyDescent="0.3">
      <c r="B27" s="76" t="s">
        <v>173</v>
      </c>
      <c r="C27" s="77" t="s">
        <v>174</v>
      </c>
      <c r="D27" s="80">
        <v>1.2699999999999999E-2</v>
      </c>
      <c r="E27" s="80">
        <v>1.2699999999999999E-2</v>
      </c>
      <c r="F27" s="80">
        <v>1.2699999999999999E-2</v>
      </c>
      <c r="G27" s="80">
        <v>1.2699999999999999E-2</v>
      </c>
      <c r="H27" s="80">
        <v>7.6E-3</v>
      </c>
      <c r="I27" s="543">
        <v>9.7000000000000003E-3</v>
      </c>
      <c r="J27" s="544"/>
      <c r="K27" s="79" t="s">
        <v>163</v>
      </c>
    </row>
    <row r="28" spans="2:11" ht="22.5" customHeight="1" x14ac:dyDescent="0.3">
      <c r="B28" s="76" t="s">
        <v>175</v>
      </c>
      <c r="C28" s="77" t="s">
        <v>176</v>
      </c>
      <c r="D28" s="83">
        <f>SUM(D29:D31)</f>
        <v>4.65E-2</v>
      </c>
      <c r="E28" s="83">
        <f>SUM(E29:E31)</f>
        <v>5.1499999999999997E-2</v>
      </c>
      <c r="F28" s="83">
        <f>SUM(F29:F31)</f>
        <v>5.6499999999999995E-2</v>
      </c>
      <c r="G28" s="83">
        <f>SUM(G29:G31)</f>
        <v>6.1499999999999999E-2</v>
      </c>
      <c r="H28" s="83">
        <f>SUM(H29:H31)</f>
        <v>3.6499999999999998E-2</v>
      </c>
      <c r="I28" s="547">
        <f>SUM(I29:J31)</f>
        <v>6.1499999999999999E-2</v>
      </c>
      <c r="J28" s="548"/>
      <c r="K28" s="84" t="s">
        <v>177</v>
      </c>
    </row>
    <row r="29" spans="2:11" ht="22.5" customHeight="1" x14ac:dyDescent="0.3">
      <c r="B29" s="76" t="s">
        <v>178</v>
      </c>
      <c r="C29" s="82" t="s">
        <v>196</v>
      </c>
      <c r="D29" s="85">
        <v>0.01</v>
      </c>
      <c r="E29" s="85">
        <v>1.4999999999999999E-2</v>
      </c>
      <c r="F29" s="85">
        <v>0.02</v>
      </c>
      <c r="G29" s="85">
        <v>2.5000000000000001E-2</v>
      </c>
      <c r="H29" s="85" t="s">
        <v>179</v>
      </c>
      <c r="I29" s="549">
        <v>2.5000000000000001E-2</v>
      </c>
      <c r="J29" s="550"/>
      <c r="K29" s="79" t="s">
        <v>177</v>
      </c>
    </row>
    <row r="30" spans="2:11" ht="22.5" customHeight="1" x14ac:dyDescent="0.3">
      <c r="B30" s="76" t="s">
        <v>180</v>
      </c>
      <c r="C30" s="82" t="s">
        <v>180</v>
      </c>
      <c r="D30" s="80">
        <v>6.4999999999999997E-3</v>
      </c>
      <c r="E30" s="80">
        <v>6.4999999999999997E-3</v>
      </c>
      <c r="F30" s="80">
        <v>6.4999999999999997E-3</v>
      </c>
      <c r="G30" s="80">
        <v>6.4999999999999997E-3</v>
      </c>
      <c r="H30" s="80">
        <v>6.4999999999999997E-3</v>
      </c>
      <c r="I30" s="543">
        <v>6.4999999999999997E-3</v>
      </c>
      <c r="J30" s="544"/>
      <c r="K30" s="79" t="s">
        <v>177</v>
      </c>
    </row>
    <row r="31" spans="2:11" ht="22.5" customHeight="1" x14ac:dyDescent="0.3">
      <c r="B31" s="76" t="s">
        <v>181</v>
      </c>
      <c r="C31" s="82" t="s">
        <v>179</v>
      </c>
      <c r="D31" s="80">
        <v>0.03</v>
      </c>
      <c r="E31" s="80">
        <v>0.03</v>
      </c>
      <c r="F31" s="80">
        <v>0.03</v>
      </c>
      <c r="G31" s="80">
        <v>0.03</v>
      </c>
      <c r="H31" s="80">
        <v>0.03</v>
      </c>
      <c r="I31" s="543">
        <v>0.03</v>
      </c>
      <c r="J31" s="544"/>
      <c r="K31" s="79" t="s">
        <v>177</v>
      </c>
    </row>
    <row r="32" spans="2:11" ht="22.5" customHeight="1" x14ac:dyDescent="0.3">
      <c r="B32" s="76" t="s">
        <v>182</v>
      </c>
      <c r="C32" s="82" t="s">
        <v>183</v>
      </c>
      <c r="D32" s="86">
        <v>4.4999999999999998E-2</v>
      </c>
      <c r="E32" s="86">
        <v>4.4999999999999998E-2</v>
      </c>
      <c r="F32" s="86">
        <v>4.4999999999999998E-2</v>
      </c>
      <c r="G32" s="86">
        <v>4.4999999999999998E-2</v>
      </c>
      <c r="H32" s="86">
        <v>4.4999999999999998E-2</v>
      </c>
      <c r="I32" s="539">
        <v>4.4999999999999998E-2</v>
      </c>
      <c r="J32" s="540"/>
      <c r="K32" s="79" t="s">
        <v>177</v>
      </c>
    </row>
    <row r="33" spans="2:11" x14ac:dyDescent="0.3">
      <c r="B33" s="551"/>
      <c r="C33" s="552"/>
      <c r="D33" s="552"/>
      <c r="E33" s="552"/>
      <c r="F33" s="552"/>
      <c r="G33" s="552"/>
      <c r="H33" s="552"/>
      <c r="I33" s="552"/>
      <c r="J33" s="552"/>
      <c r="K33" s="553"/>
    </row>
    <row r="34" spans="2:11" x14ac:dyDescent="0.3">
      <c r="B34" s="554" t="s">
        <v>184</v>
      </c>
      <c r="C34" s="555"/>
      <c r="D34" s="558" t="s">
        <v>185</v>
      </c>
      <c r="E34" s="559"/>
      <c r="F34" s="559"/>
      <c r="G34" s="559"/>
      <c r="H34" s="559"/>
      <c r="I34" s="559"/>
      <c r="J34" s="559"/>
      <c r="K34" s="560"/>
    </row>
    <row r="35" spans="2:11" x14ac:dyDescent="0.3">
      <c r="B35" s="556"/>
      <c r="C35" s="557"/>
      <c r="D35" s="561" t="s">
        <v>186</v>
      </c>
      <c r="E35" s="562"/>
      <c r="F35" s="562"/>
      <c r="G35" s="562"/>
      <c r="H35" s="562"/>
      <c r="I35" s="562"/>
      <c r="J35" s="562"/>
      <c r="K35" s="563"/>
    </row>
    <row r="36" spans="2:11" ht="22.5" customHeight="1" x14ac:dyDescent="0.3">
      <c r="B36" s="564" t="s">
        <v>187</v>
      </c>
      <c r="C36" s="565"/>
      <c r="D36" s="87">
        <f t="shared" ref="D36:I36" si="0">(1+(D22+D25))*(1+D24)*(1+D23)-1</f>
        <v>0.16814559530500017</v>
      </c>
      <c r="E36" s="87">
        <f t="shared" si="0"/>
        <v>0.16733230900000007</v>
      </c>
      <c r="F36" s="87">
        <f t="shared" si="0"/>
        <v>0.16814559530500017</v>
      </c>
      <c r="G36" s="87">
        <f t="shared" si="0"/>
        <v>0.16814559530500017</v>
      </c>
      <c r="H36" s="87">
        <f t="shared" si="0"/>
        <v>0.10717782322399994</v>
      </c>
      <c r="I36" s="566">
        <f t="shared" si="0"/>
        <v>0.13138801283200041</v>
      </c>
      <c r="J36" s="567"/>
      <c r="K36" s="568"/>
    </row>
    <row r="37" spans="2:11" ht="22.5" customHeight="1" x14ac:dyDescent="0.3">
      <c r="B37" s="564" t="s">
        <v>188</v>
      </c>
      <c r="C37" s="565"/>
      <c r="D37" s="87">
        <f t="shared" ref="D37:I37" si="1">(1-(D28+D32))</f>
        <v>0.90849999999999997</v>
      </c>
      <c r="E37" s="87">
        <f t="shared" si="1"/>
        <v>0.90349999999999997</v>
      </c>
      <c r="F37" s="87">
        <f t="shared" si="1"/>
        <v>0.89849999999999997</v>
      </c>
      <c r="G37" s="87">
        <f t="shared" si="1"/>
        <v>0.89349999999999996</v>
      </c>
      <c r="H37" s="87">
        <f t="shared" si="1"/>
        <v>0.91849999999999998</v>
      </c>
      <c r="I37" s="566">
        <f t="shared" si="1"/>
        <v>0.89349999999999996</v>
      </c>
      <c r="J37" s="567"/>
      <c r="K37" s="569"/>
    </row>
    <row r="38" spans="2:11" ht="11.25" customHeight="1" x14ac:dyDescent="0.3">
      <c r="B38" s="571" t="s">
        <v>189</v>
      </c>
      <c r="C38" s="572"/>
      <c r="D38" s="581">
        <f t="shared" ref="D38:I38" si="2">(1+D36)/D37-1</f>
        <v>0.28579592218492045</v>
      </c>
      <c r="E38" s="583">
        <f t="shared" si="2"/>
        <v>0.29201141007194265</v>
      </c>
      <c r="F38" s="581">
        <f t="shared" si="2"/>
        <v>0.3001063943294382</v>
      </c>
      <c r="G38" s="581">
        <f t="shared" si="2"/>
        <v>0.30738175188024641</v>
      </c>
      <c r="H38" s="583">
        <f t="shared" si="2"/>
        <v>0.20541951358083832</v>
      </c>
      <c r="I38" s="571">
        <f t="shared" si="2"/>
        <v>0.26624287949860159</v>
      </c>
      <c r="J38" s="572"/>
      <c r="K38" s="569"/>
    </row>
    <row r="39" spans="2:11" ht="11.25" customHeight="1" x14ac:dyDescent="0.3">
      <c r="B39" s="573"/>
      <c r="C39" s="574"/>
      <c r="D39" s="582"/>
      <c r="E39" s="584"/>
      <c r="F39" s="582"/>
      <c r="G39" s="582"/>
      <c r="H39" s="584"/>
      <c r="I39" s="573"/>
      <c r="J39" s="574"/>
      <c r="K39" s="570"/>
    </row>
    <row r="40" spans="2:11" x14ac:dyDescent="0.3">
      <c r="B40" s="575" t="s">
        <v>190</v>
      </c>
      <c r="C40" s="576"/>
      <c r="D40" s="576"/>
      <c r="E40" s="576"/>
      <c r="F40" s="576"/>
      <c r="G40" s="576"/>
      <c r="H40" s="576"/>
      <c r="I40" s="576"/>
      <c r="J40" s="576"/>
      <c r="K40" s="577"/>
    </row>
    <row r="41" spans="2:11" ht="102.6" customHeight="1" x14ac:dyDescent="0.3">
      <c r="B41" s="578" t="s">
        <v>197</v>
      </c>
      <c r="C41" s="579"/>
      <c r="D41" s="579"/>
      <c r="E41" s="579"/>
      <c r="F41" s="579"/>
      <c r="G41" s="579"/>
      <c r="H41" s="579"/>
      <c r="I41" s="579"/>
      <c r="J41" s="579"/>
      <c r="K41" s="580"/>
    </row>
    <row r="43" spans="2:11" x14ac:dyDescent="0.3">
      <c r="B43" s="72" t="str">
        <f>'PLANILHA ORÇAMENTÁRIA'!H4</f>
        <v>DATA:  12/09/2024</v>
      </c>
    </row>
    <row r="47" spans="2:11" x14ac:dyDescent="0.3">
      <c r="B47" s="72" t="str">
        <f>'PLANILHA ORÇAMENTÁRIA'!B104</f>
        <v>XXXXXXXXXXXXXXX</v>
      </c>
      <c r="H47" s="72" t="str">
        <f>'PLANILHA ORÇAMENTÁRIA'!D104</f>
        <v>XXXXXXXXXXXXXX</v>
      </c>
    </row>
    <row r="48" spans="2:11" x14ac:dyDescent="0.3">
      <c r="B48" s="72" t="str">
        <f>'PLANILHA ORÇAMENTÁRIA'!B105</f>
        <v>ENGENHEIRO CIVIL - CREAMG NºXXXXXXXXXXXXXXX</v>
      </c>
      <c r="H48" s="72" t="str">
        <f>'PLANILHA ORÇAMENTÁRIA'!D105</f>
        <v>REPRESENTANTE LEGAL LICITANTE</v>
      </c>
    </row>
    <row r="49" spans="2:2" x14ac:dyDescent="0.3">
      <c r="B49" s="72" t="str">
        <f>'PLANILHA ORÇAMENTÁRIA'!B106</f>
        <v>R. T. LICITANTE</v>
      </c>
    </row>
  </sheetData>
  <sheetProtection algorithmName="SHA-512" hashValue="IKK7I40zf+pQJRIeBPXFncHzcCDjQwQNhM98enfp8N1ORTxR5nWHq4zq0jbEJjguIHIFDQUPfDM2Gzh4a/OjgQ==" saltValue="b7a48Y8CtsXQwuQOMSdB7Q==" spinCount="100000" sheet="1" objects="1" scenarios="1"/>
  <mergeCells count="40">
    <mergeCell ref="B40:K40"/>
    <mergeCell ref="B41:K41"/>
    <mergeCell ref="D38:D39"/>
    <mergeCell ref="E38:E39"/>
    <mergeCell ref="F38:F39"/>
    <mergeCell ref="G38:G39"/>
    <mergeCell ref="H38:H39"/>
    <mergeCell ref="I38:J39"/>
    <mergeCell ref="B33:K33"/>
    <mergeCell ref="B34:C35"/>
    <mergeCell ref="D34:K34"/>
    <mergeCell ref="D35:K35"/>
    <mergeCell ref="B36:C36"/>
    <mergeCell ref="I36:J36"/>
    <mergeCell ref="K36:K39"/>
    <mergeCell ref="B37:C37"/>
    <mergeCell ref="I37:J37"/>
    <mergeCell ref="B38:C39"/>
    <mergeCell ref="B13:L14"/>
    <mergeCell ref="A9:L9"/>
    <mergeCell ref="I32:J32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B17:K17"/>
    <mergeCell ref="B18:B20"/>
    <mergeCell ref="C18:C20"/>
    <mergeCell ref="D18:J18"/>
    <mergeCell ref="K18:K20"/>
    <mergeCell ref="D19:G19"/>
    <mergeCell ref="H19:J19"/>
    <mergeCell ref="I20:J20"/>
  </mergeCells>
  <pageMargins left="0.51181102362204722" right="0.51181102362204722" top="0.78740157480314965" bottom="0.78740157480314965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A112-8D10-4391-B1AD-5E2A74D41B8A}">
  <dimension ref="A1:Q50"/>
  <sheetViews>
    <sheetView topLeftCell="A26" workbookViewId="0">
      <selection activeCell="B25" sqref="B25:B26"/>
    </sheetView>
  </sheetViews>
  <sheetFormatPr defaultColWidth="9.109375" defaultRowHeight="13.8" x14ac:dyDescent="0.3"/>
  <cols>
    <col min="1" max="1" width="11.6640625" style="128" customWidth="1"/>
    <col min="2" max="2" width="10.44140625" style="128" customWidth="1"/>
    <col min="3" max="3" width="65.109375" style="128" customWidth="1"/>
    <col min="4" max="4" width="14.33203125" style="129" customWidth="1"/>
    <col min="5" max="5" width="13.5546875" style="129" customWidth="1"/>
    <col min="6" max="7" width="12.6640625" style="128" customWidth="1"/>
    <col min="8" max="8" width="13.88671875" style="128" customWidth="1"/>
    <col min="9" max="9" width="12.88671875" style="128" customWidth="1"/>
    <col min="10" max="11" width="12.6640625" style="128" customWidth="1"/>
    <col min="12" max="12" width="5.33203125" style="128" customWidth="1"/>
    <col min="13" max="253" width="9.109375" style="128"/>
    <col min="254" max="254" width="11.6640625" style="128" customWidth="1"/>
    <col min="255" max="255" width="10.44140625" style="128" customWidth="1"/>
    <col min="256" max="256" width="65.109375" style="128" customWidth="1"/>
    <col min="257" max="257" width="14.33203125" style="128" customWidth="1"/>
    <col min="258" max="258" width="13.5546875" style="128" customWidth="1"/>
    <col min="259" max="260" width="12.6640625" style="128" customWidth="1"/>
    <col min="261" max="261" width="13.88671875" style="128" customWidth="1"/>
    <col min="262" max="262" width="12.88671875" style="128" customWidth="1"/>
    <col min="263" max="264" width="12.6640625" style="128" customWidth="1"/>
    <col min="265" max="265" width="5.33203125" style="128" customWidth="1"/>
    <col min="266" max="266" width="14.6640625" style="128" bestFit="1" customWidth="1"/>
    <col min="267" max="509" width="9.109375" style="128"/>
    <col min="510" max="510" width="11.6640625" style="128" customWidth="1"/>
    <col min="511" max="511" width="10.44140625" style="128" customWidth="1"/>
    <col min="512" max="512" width="65.109375" style="128" customWidth="1"/>
    <col min="513" max="513" width="14.33203125" style="128" customWidth="1"/>
    <col min="514" max="514" width="13.5546875" style="128" customWidth="1"/>
    <col min="515" max="516" width="12.6640625" style="128" customWidth="1"/>
    <col min="517" max="517" width="13.88671875" style="128" customWidth="1"/>
    <col min="518" max="518" width="12.88671875" style="128" customWidth="1"/>
    <col min="519" max="520" width="12.6640625" style="128" customWidth="1"/>
    <col min="521" max="521" width="5.33203125" style="128" customWidth="1"/>
    <col min="522" max="522" width="14.6640625" style="128" bestFit="1" customWidth="1"/>
    <col min="523" max="765" width="9.109375" style="128"/>
    <col min="766" max="766" width="11.6640625" style="128" customWidth="1"/>
    <col min="767" max="767" width="10.44140625" style="128" customWidth="1"/>
    <col min="768" max="768" width="65.109375" style="128" customWidth="1"/>
    <col min="769" max="769" width="14.33203125" style="128" customWidth="1"/>
    <col min="770" max="770" width="13.5546875" style="128" customWidth="1"/>
    <col min="771" max="772" width="12.6640625" style="128" customWidth="1"/>
    <col min="773" max="773" width="13.88671875" style="128" customWidth="1"/>
    <col min="774" max="774" width="12.88671875" style="128" customWidth="1"/>
    <col min="775" max="776" width="12.6640625" style="128" customWidth="1"/>
    <col min="777" max="777" width="5.33203125" style="128" customWidth="1"/>
    <col min="778" max="778" width="14.6640625" style="128" bestFit="1" customWidth="1"/>
    <col min="779" max="1021" width="9.109375" style="128"/>
    <col min="1022" max="1022" width="11.6640625" style="128" customWidth="1"/>
    <col min="1023" max="1023" width="10.44140625" style="128" customWidth="1"/>
    <col min="1024" max="1024" width="65.109375" style="128" customWidth="1"/>
    <col min="1025" max="1025" width="14.33203125" style="128" customWidth="1"/>
    <col min="1026" max="1026" width="13.5546875" style="128" customWidth="1"/>
    <col min="1027" max="1028" width="12.6640625" style="128" customWidth="1"/>
    <col min="1029" max="1029" width="13.88671875" style="128" customWidth="1"/>
    <col min="1030" max="1030" width="12.88671875" style="128" customWidth="1"/>
    <col min="1031" max="1032" width="12.6640625" style="128" customWidth="1"/>
    <col min="1033" max="1033" width="5.33203125" style="128" customWidth="1"/>
    <col min="1034" max="1034" width="14.6640625" style="128" bestFit="1" customWidth="1"/>
    <col min="1035" max="1277" width="9.109375" style="128"/>
    <col min="1278" max="1278" width="11.6640625" style="128" customWidth="1"/>
    <col min="1279" max="1279" width="10.44140625" style="128" customWidth="1"/>
    <col min="1280" max="1280" width="65.109375" style="128" customWidth="1"/>
    <col min="1281" max="1281" width="14.33203125" style="128" customWidth="1"/>
    <col min="1282" max="1282" width="13.5546875" style="128" customWidth="1"/>
    <col min="1283" max="1284" width="12.6640625" style="128" customWidth="1"/>
    <col min="1285" max="1285" width="13.88671875" style="128" customWidth="1"/>
    <col min="1286" max="1286" width="12.88671875" style="128" customWidth="1"/>
    <col min="1287" max="1288" width="12.6640625" style="128" customWidth="1"/>
    <col min="1289" max="1289" width="5.33203125" style="128" customWidth="1"/>
    <col min="1290" max="1290" width="14.6640625" style="128" bestFit="1" customWidth="1"/>
    <col min="1291" max="1533" width="9.109375" style="128"/>
    <col min="1534" max="1534" width="11.6640625" style="128" customWidth="1"/>
    <col min="1535" max="1535" width="10.44140625" style="128" customWidth="1"/>
    <col min="1536" max="1536" width="65.109375" style="128" customWidth="1"/>
    <col min="1537" max="1537" width="14.33203125" style="128" customWidth="1"/>
    <col min="1538" max="1538" width="13.5546875" style="128" customWidth="1"/>
    <col min="1539" max="1540" width="12.6640625" style="128" customWidth="1"/>
    <col min="1541" max="1541" width="13.88671875" style="128" customWidth="1"/>
    <col min="1542" max="1542" width="12.88671875" style="128" customWidth="1"/>
    <col min="1543" max="1544" width="12.6640625" style="128" customWidth="1"/>
    <col min="1545" max="1545" width="5.33203125" style="128" customWidth="1"/>
    <col min="1546" max="1546" width="14.6640625" style="128" bestFit="1" customWidth="1"/>
    <col min="1547" max="1789" width="9.109375" style="128"/>
    <col min="1790" max="1790" width="11.6640625" style="128" customWidth="1"/>
    <col min="1791" max="1791" width="10.44140625" style="128" customWidth="1"/>
    <col min="1792" max="1792" width="65.109375" style="128" customWidth="1"/>
    <col min="1793" max="1793" width="14.33203125" style="128" customWidth="1"/>
    <col min="1794" max="1794" width="13.5546875" style="128" customWidth="1"/>
    <col min="1795" max="1796" width="12.6640625" style="128" customWidth="1"/>
    <col min="1797" max="1797" width="13.88671875" style="128" customWidth="1"/>
    <col min="1798" max="1798" width="12.88671875" style="128" customWidth="1"/>
    <col min="1799" max="1800" width="12.6640625" style="128" customWidth="1"/>
    <col min="1801" max="1801" width="5.33203125" style="128" customWidth="1"/>
    <col min="1802" max="1802" width="14.6640625" style="128" bestFit="1" customWidth="1"/>
    <col min="1803" max="2045" width="9.109375" style="128"/>
    <col min="2046" max="2046" width="11.6640625" style="128" customWidth="1"/>
    <col min="2047" max="2047" width="10.44140625" style="128" customWidth="1"/>
    <col min="2048" max="2048" width="65.109375" style="128" customWidth="1"/>
    <col min="2049" max="2049" width="14.33203125" style="128" customWidth="1"/>
    <col min="2050" max="2050" width="13.5546875" style="128" customWidth="1"/>
    <col min="2051" max="2052" width="12.6640625" style="128" customWidth="1"/>
    <col min="2053" max="2053" width="13.88671875" style="128" customWidth="1"/>
    <col min="2054" max="2054" width="12.88671875" style="128" customWidth="1"/>
    <col min="2055" max="2056" width="12.6640625" style="128" customWidth="1"/>
    <col min="2057" max="2057" width="5.33203125" style="128" customWidth="1"/>
    <col min="2058" max="2058" width="14.6640625" style="128" bestFit="1" customWidth="1"/>
    <col min="2059" max="2301" width="9.109375" style="128"/>
    <col min="2302" max="2302" width="11.6640625" style="128" customWidth="1"/>
    <col min="2303" max="2303" width="10.44140625" style="128" customWidth="1"/>
    <col min="2304" max="2304" width="65.109375" style="128" customWidth="1"/>
    <col min="2305" max="2305" width="14.33203125" style="128" customWidth="1"/>
    <col min="2306" max="2306" width="13.5546875" style="128" customWidth="1"/>
    <col min="2307" max="2308" width="12.6640625" style="128" customWidth="1"/>
    <col min="2309" max="2309" width="13.88671875" style="128" customWidth="1"/>
    <col min="2310" max="2310" width="12.88671875" style="128" customWidth="1"/>
    <col min="2311" max="2312" width="12.6640625" style="128" customWidth="1"/>
    <col min="2313" max="2313" width="5.33203125" style="128" customWidth="1"/>
    <col min="2314" max="2314" width="14.6640625" style="128" bestFit="1" customWidth="1"/>
    <col min="2315" max="2557" width="9.109375" style="128"/>
    <col min="2558" max="2558" width="11.6640625" style="128" customWidth="1"/>
    <col min="2559" max="2559" width="10.44140625" style="128" customWidth="1"/>
    <col min="2560" max="2560" width="65.109375" style="128" customWidth="1"/>
    <col min="2561" max="2561" width="14.33203125" style="128" customWidth="1"/>
    <col min="2562" max="2562" width="13.5546875" style="128" customWidth="1"/>
    <col min="2563" max="2564" width="12.6640625" style="128" customWidth="1"/>
    <col min="2565" max="2565" width="13.88671875" style="128" customWidth="1"/>
    <col min="2566" max="2566" width="12.88671875" style="128" customWidth="1"/>
    <col min="2567" max="2568" width="12.6640625" style="128" customWidth="1"/>
    <col min="2569" max="2569" width="5.33203125" style="128" customWidth="1"/>
    <col min="2570" max="2570" width="14.6640625" style="128" bestFit="1" customWidth="1"/>
    <col min="2571" max="2813" width="9.109375" style="128"/>
    <col min="2814" max="2814" width="11.6640625" style="128" customWidth="1"/>
    <col min="2815" max="2815" width="10.44140625" style="128" customWidth="1"/>
    <col min="2816" max="2816" width="65.109375" style="128" customWidth="1"/>
    <col min="2817" max="2817" width="14.33203125" style="128" customWidth="1"/>
    <col min="2818" max="2818" width="13.5546875" style="128" customWidth="1"/>
    <col min="2819" max="2820" width="12.6640625" style="128" customWidth="1"/>
    <col min="2821" max="2821" width="13.88671875" style="128" customWidth="1"/>
    <col min="2822" max="2822" width="12.88671875" style="128" customWidth="1"/>
    <col min="2823" max="2824" width="12.6640625" style="128" customWidth="1"/>
    <col min="2825" max="2825" width="5.33203125" style="128" customWidth="1"/>
    <col min="2826" max="2826" width="14.6640625" style="128" bestFit="1" customWidth="1"/>
    <col min="2827" max="3069" width="9.109375" style="128"/>
    <col min="3070" max="3070" width="11.6640625" style="128" customWidth="1"/>
    <col min="3071" max="3071" width="10.44140625" style="128" customWidth="1"/>
    <col min="3072" max="3072" width="65.109375" style="128" customWidth="1"/>
    <col min="3073" max="3073" width="14.33203125" style="128" customWidth="1"/>
    <col min="3074" max="3074" width="13.5546875" style="128" customWidth="1"/>
    <col min="3075" max="3076" width="12.6640625" style="128" customWidth="1"/>
    <col min="3077" max="3077" width="13.88671875" style="128" customWidth="1"/>
    <col min="3078" max="3078" width="12.88671875" style="128" customWidth="1"/>
    <col min="3079" max="3080" width="12.6640625" style="128" customWidth="1"/>
    <col min="3081" max="3081" width="5.33203125" style="128" customWidth="1"/>
    <col min="3082" max="3082" width="14.6640625" style="128" bestFit="1" customWidth="1"/>
    <col min="3083" max="3325" width="9.109375" style="128"/>
    <col min="3326" max="3326" width="11.6640625" style="128" customWidth="1"/>
    <col min="3327" max="3327" width="10.44140625" style="128" customWidth="1"/>
    <col min="3328" max="3328" width="65.109375" style="128" customWidth="1"/>
    <col min="3329" max="3329" width="14.33203125" style="128" customWidth="1"/>
    <col min="3330" max="3330" width="13.5546875" style="128" customWidth="1"/>
    <col min="3331" max="3332" width="12.6640625" style="128" customWidth="1"/>
    <col min="3333" max="3333" width="13.88671875" style="128" customWidth="1"/>
    <col min="3334" max="3334" width="12.88671875" style="128" customWidth="1"/>
    <col min="3335" max="3336" width="12.6640625" style="128" customWidth="1"/>
    <col min="3337" max="3337" width="5.33203125" style="128" customWidth="1"/>
    <col min="3338" max="3338" width="14.6640625" style="128" bestFit="1" customWidth="1"/>
    <col min="3339" max="3581" width="9.109375" style="128"/>
    <col min="3582" max="3582" width="11.6640625" style="128" customWidth="1"/>
    <col min="3583" max="3583" width="10.44140625" style="128" customWidth="1"/>
    <col min="3584" max="3584" width="65.109375" style="128" customWidth="1"/>
    <col min="3585" max="3585" width="14.33203125" style="128" customWidth="1"/>
    <col min="3586" max="3586" width="13.5546875" style="128" customWidth="1"/>
    <col min="3587" max="3588" width="12.6640625" style="128" customWidth="1"/>
    <col min="3589" max="3589" width="13.88671875" style="128" customWidth="1"/>
    <col min="3590" max="3590" width="12.88671875" style="128" customWidth="1"/>
    <col min="3591" max="3592" width="12.6640625" style="128" customWidth="1"/>
    <col min="3593" max="3593" width="5.33203125" style="128" customWidth="1"/>
    <col min="3594" max="3594" width="14.6640625" style="128" bestFit="1" customWidth="1"/>
    <col min="3595" max="3837" width="9.109375" style="128"/>
    <col min="3838" max="3838" width="11.6640625" style="128" customWidth="1"/>
    <col min="3839" max="3839" width="10.44140625" style="128" customWidth="1"/>
    <col min="3840" max="3840" width="65.109375" style="128" customWidth="1"/>
    <col min="3841" max="3841" width="14.33203125" style="128" customWidth="1"/>
    <col min="3842" max="3842" width="13.5546875" style="128" customWidth="1"/>
    <col min="3843" max="3844" width="12.6640625" style="128" customWidth="1"/>
    <col min="3845" max="3845" width="13.88671875" style="128" customWidth="1"/>
    <col min="3846" max="3846" width="12.88671875" style="128" customWidth="1"/>
    <col min="3847" max="3848" width="12.6640625" style="128" customWidth="1"/>
    <col min="3849" max="3849" width="5.33203125" style="128" customWidth="1"/>
    <col min="3850" max="3850" width="14.6640625" style="128" bestFit="1" customWidth="1"/>
    <col min="3851" max="4093" width="9.109375" style="128"/>
    <col min="4094" max="4094" width="11.6640625" style="128" customWidth="1"/>
    <col min="4095" max="4095" width="10.44140625" style="128" customWidth="1"/>
    <col min="4096" max="4096" width="65.109375" style="128" customWidth="1"/>
    <col min="4097" max="4097" width="14.33203125" style="128" customWidth="1"/>
    <col min="4098" max="4098" width="13.5546875" style="128" customWidth="1"/>
    <col min="4099" max="4100" width="12.6640625" style="128" customWidth="1"/>
    <col min="4101" max="4101" width="13.88671875" style="128" customWidth="1"/>
    <col min="4102" max="4102" width="12.88671875" style="128" customWidth="1"/>
    <col min="4103" max="4104" width="12.6640625" style="128" customWidth="1"/>
    <col min="4105" max="4105" width="5.33203125" style="128" customWidth="1"/>
    <col min="4106" max="4106" width="14.6640625" style="128" bestFit="1" customWidth="1"/>
    <col min="4107" max="4349" width="9.109375" style="128"/>
    <col min="4350" max="4350" width="11.6640625" style="128" customWidth="1"/>
    <col min="4351" max="4351" width="10.44140625" style="128" customWidth="1"/>
    <col min="4352" max="4352" width="65.109375" style="128" customWidth="1"/>
    <col min="4353" max="4353" width="14.33203125" style="128" customWidth="1"/>
    <col min="4354" max="4354" width="13.5546875" style="128" customWidth="1"/>
    <col min="4355" max="4356" width="12.6640625" style="128" customWidth="1"/>
    <col min="4357" max="4357" width="13.88671875" style="128" customWidth="1"/>
    <col min="4358" max="4358" width="12.88671875" style="128" customWidth="1"/>
    <col min="4359" max="4360" width="12.6640625" style="128" customWidth="1"/>
    <col min="4361" max="4361" width="5.33203125" style="128" customWidth="1"/>
    <col min="4362" max="4362" width="14.6640625" style="128" bestFit="1" customWidth="1"/>
    <col min="4363" max="4605" width="9.109375" style="128"/>
    <col min="4606" max="4606" width="11.6640625" style="128" customWidth="1"/>
    <col min="4607" max="4607" width="10.44140625" style="128" customWidth="1"/>
    <col min="4608" max="4608" width="65.109375" style="128" customWidth="1"/>
    <col min="4609" max="4609" width="14.33203125" style="128" customWidth="1"/>
    <col min="4610" max="4610" width="13.5546875" style="128" customWidth="1"/>
    <col min="4611" max="4612" width="12.6640625" style="128" customWidth="1"/>
    <col min="4613" max="4613" width="13.88671875" style="128" customWidth="1"/>
    <col min="4614" max="4614" width="12.88671875" style="128" customWidth="1"/>
    <col min="4615" max="4616" width="12.6640625" style="128" customWidth="1"/>
    <col min="4617" max="4617" width="5.33203125" style="128" customWidth="1"/>
    <col min="4618" max="4618" width="14.6640625" style="128" bestFit="1" customWidth="1"/>
    <col min="4619" max="4861" width="9.109375" style="128"/>
    <col min="4862" max="4862" width="11.6640625" style="128" customWidth="1"/>
    <col min="4863" max="4863" width="10.44140625" style="128" customWidth="1"/>
    <col min="4864" max="4864" width="65.109375" style="128" customWidth="1"/>
    <col min="4865" max="4865" width="14.33203125" style="128" customWidth="1"/>
    <col min="4866" max="4866" width="13.5546875" style="128" customWidth="1"/>
    <col min="4867" max="4868" width="12.6640625" style="128" customWidth="1"/>
    <col min="4869" max="4869" width="13.88671875" style="128" customWidth="1"/>
    <col min="4870" max="4870" width="12.88671875" style="128" customWidth="1"/>
    <col min="4871" max="4872" width="12.6640625" style="128" customWidth="1"/>
    <col min="4873" max="4873" width="5.33203125" style="128" customWidth="1"/>
    <col min="4874" max="4874" width="14.6640625" style="128" bestFit="1" customWidth="1"/>
    <col min="4875" max="5117" width="9.109375" style="128"/>
    <col min="5118" max="5118" width="11.6640625" style="128" customWidth="1"/>
    <col min="5119" max="5119" width="10.44140625" style="128" customWidth="1"/>
    <col min="5120" max="5120" width="65.109375" style="128" customWidth="1"/>
    <col min="5121" max="5121" width="14.33203125" style="128" customWidth="1"/>
    <col min="5122" max="5122" width="13.5546875" style="128" customWidth="1"/>
    <col min="5123" max="5124" width="12.6640625" style="128" customWidth="1"/>
    <col min="5125" max="5125" width="13.88671875" style="128" customWidth="1"/>
    <col min="5126" max="5126" width="12.88671875" style="128" customWidth="1"/>
    <col min="5127" max="5128" width="12.6640625" style="128" customWidth="1"/>
    <col min="5129" max="5129" width="5.33203125" style="128" customWidth="1"/>
    <col min="5130" max="5130" width="14.6640625" style="128" bestFit="1" customWidth="1"/>
    <col min="5131" max="5373" width="9.109375" style="128"/>
    <col min="5374" max="5374" width="11.6640625" style="128" customWidth="1"/>
    <col min="5375" max="5375" width="10.44140625" style="128" customWidth="1"/>
    <col min="5376" max="5376" width="65.109375" style="128" customWidth="1"/>
    <col min="5377" max="5377" width="14.33203125" style="128" customWidth="1"/>
    <col min="5378" max="5378" width="13.5546875" style="128" customWidth="1"/>
    <col min="5379" max="5380" width="12.6640625" style="128" customWidth="1"/>
    <col min="5381" max="5381" width="13.88671875" style="128" customWidth="1"/>
    <col min="5382" max="5382" width="12.88671875" style="128" customWidth="1"/>
    <col min="5383" max="5384" width="12.6640625" style="128" customWidth="1"/>
    <col min="5385" max="5385" width="5.33203125" style="128" customWidth="1"/>
    <col min="5386" max="5386" width="14.6640625" style="128" bestFit="1" customWidth="1"/>
    <col min="5387" max="5629" width="9.109375" style="128"/>
    <col min="5630" max="5630" width="11.6640625" style="128" customWidth="1"/>
    <col min="5631" max="5631" width="10.44140625" style="128" customWidth="1"/>
    <col min="5632" max="5632" width="65.109375" style="128" customWidth="1"/>
    <col min="5633" max="5633" width="14.33203125" style="128" customWidth="1"/>
    <col min="5634" max="5634" width="13.5546875" style="128" customWidth="1"/>
    <col min="5635" max="5636" width="12.6640625" style="128" customWidth="1"/>
    <col min="5637" max="5637" width="13.88671875" style="128" customWidth="1"/>
    <col min="5638" max="5638" width="12.88671875" style="128" customWidth="1"/>
    <col min="5639" max="5640" width="12.6640625" style="128" customWidth="1"/>
    <col min="5641" max="5641" width="5.33203125" style="128" customWidth="1"/>
    <col min="5642" max="5642" width="14.6640625" style="128" bestFit="1" customWidth="1"/>
    <col min="5643" max="5885" width="9.109375" style="128"/>
    <col min="5886" max="5886" width="11.6640625" style="128" customWidth="1"/>
    <col min="5887" max="5887" width="10.44140625" style="128" customWidth="1"/>
    <col min="5888" max="5888" width="65.109375" style="128" customWidth="1"/>
    <col min="5889" max="5889" width="14.33203125" style="128" customWidth="1"/>
    <col min="5890" max="5890" width="13.5546875" style="128" customWidth="1"/>
    <col min="5891" max="5892" width="12.6640625" style="128" customWidth="1"/>
    <col min="5893" max="5893" width="13.88671875" style="128" customWidth="1"/>
    <col min="5894" max="5894" width="12.88671875" style="128" customWidth="1"/>
    <col min="5895" max="5896" width="12.6640625" style="128" customWidth="1"/>
    <col min="5897" max="5897" width="5.33203125" style="128" customWidth="1"/>
    <col min="5898" max="5898" width="14.6640625" style="128" bestFit="1" customWidth="1"/>
    <col min="5899" max="6141" width="9.109375" style="128"/>
    <col min="6142" max="6142" width="11.6640625" style="128" customWidth="1"/>
    <col min="6143" max="6143" width="10.44140625" style="128" customWidth="1"/>
    <col min="6144" max="6144" width="65.109375" style="128" customWidth="1"/>
    <col min="6145" max="6145" width="14.33203125" style="128" customWidth="1"/>
    <col min="6146" max="6146" width="13.5546875" style="128" customWidth="1"/>
    <col min="6147" max="6148" width="12.6640625" style="128" customWidth="1"/>
    <col min="6149" max="6149" width="13.88671875" style="128" customWidth="1"/>
    <col min="6150" max="6150" width="12.88671875" style="128" customWidth="1"/>
    <col min="6151" max="6152" width="12.6640625" style="128" customWidth="1"/>
    <col min="6153" max="6153" width="5.33203125" style="128" customWidth="1"/>
    <col min="6154" max="6154" width="14.6640625" style="128" bestFit="1" customWidth="1"/>
    <col min="6155" max="6397" width="9.109375" style="128"/>
    <col min="6398" max="6398" width="11.6640625" style="128" customWidth="1"/>
    <col min="6399" max="6399" width="10.44140625" style="128" customWidth="1"/>
    <col min="6400" max="6400" width="65.109375" style="128" customWidth="1"/>
    <col min="6401" max="6401" width="14.33203125" style="128" customWidth="1"/>
    <col min="6402" max="6402" width="13.5546875" style="128" customWidth="1"/>
    <col min="6403" max="6404" width="12.6640625" style="128" customWidth="1"/>
    <col min="6405" max="6405" width="13.88671875" style="128" customWidth="1"/>
    <col min="6406" max="6406" width="12.88671875" style="128" customWidth="1"/>
    <col min="6407" max="6408" width="12.6640625" style="128" customWidth="1"/>
    <col min="6409" max="6409" width="5.33203125" style="128" customWidth="1"/>
    <col min="6410" max="6410" width="14.6640625" style="128" bestFit="1" customWidth="1"/>
    <col min="6411" max="6653" width="9.109375" style="128"/>
    <col min="6654" max="6654" width="11.6640625" style="128" customWidth="1"/>
    <col min="6655" max="6655" width="10.44140625" style="128" customWidth="1"/>
    <col min="6656" max="6656" width="65.109375" style="128" customWidth="1"/>
    <col min="6657" max="6657" width="14.33203125" style="128" customWidth="1"/>
    <col min="6658" max="6658" width="13.5546875" style="128" customWidth="1"/>
    <col min="6659" max="6660" width="12.6640625" style="128" customWidth="1"/>
    <col min="6661" max="6661" width="13.88671875" style="128" customWidth="1"/>
    <col min="6662" max="6662" width="12.88671875" style="128" customWidth="1"/>
    <col min="6663" max="6664" width="12.6640625" style="128" customWidth="1"/>
    <col min="6665" max="6665" width="5.33203125" style="128" customWidth="1"/>
    <col min="6666" max="6666" width="14.6640625" style="128" bestFit="1" customWidth="1"/>
    <col min="6667" max="6909" width="9.109375" style="128"/>
    <col min="6910" max="6910" width="11.6640625" style="128" customWidth="1"/>
    <col min="6911" max="6911" width="10.44140625" style="128" customWidth="1"/>
    <col min="6912" max="6912" width="65.109375" style="128" customWidth="1"/>
    <col min="6913" max="6913" width="14.33203125" style="128" customWidth="1"/>
    <col min="6914" max="6914" width="13.5546875" style="128" customWidth="1"/>
    <col min="6915" max="6916" width="12.6640625" style="128" customWidth="1"/>
    <col min="6917" max="6917" width="13.88671875" style="128" customWidth="1"/>
    <col min="6918" max="6918" width="12.88671875" style="128" customWidth="1"/>
    <col min="6919" max="6920" width="12.6640625" style="128" customWidth="1"/>
    <col min="6921" max="6921" width="5.33203125" style="128" customWidth="1"/>
    <col min="6922" max="6922" width="14.6640625" style="128" bestFit="1" customWidth="1"/>
    <col min="6923" max="7165" width="9.109375" style="128"/>
    <col min="7166" max="7166" width="11.6640625" style="128" customWidth="1"/>
    <col min="7167" max="7167" width="10.44140625" style="128" customWidth="1"/>
    <col min="7168" max="7168" width="65.109375" style="128" customWidth="1"/>
    <col min="7169" max="7169" width="14.33203125" style="128" customWidth="1"/>
    <col min="7170" max="7170" width="13.5546875" style="128" customWidth="1"/>
    <col min="7171" max="7172" width="12.6640625" style="128" customWidth="1"/>
    <col min="7173" max="7173" width="13.88671875" style="128" customWidth="1"/>
    <col min="7174" max="7174" width="12.88671875" style="128" customWidth="1"/>
    <col min="7175" max="7176" width="12.6640625" style="128" customWidth="1"/>
    <col min="7177" max="7177" width="5.33203125" style="128" customWidth="1"/>
    <col min="7178" max="7178" width="14.6640625" style="128" bestFit="1" customWidth="1"/>
    <col min="7179" max="7421" width="9.109375" style="128"/>
    <col min="7422" max="7422" width="11.6640625" style="128" customWidth="1"/>
    <col min="7423" max="7423" width="10.44140625" style="128" customWidth="1"/>
    <col min="7424" max="7424" width="65.109375" style="128" customWidth="1"/>
    <col min="7425" max="7425" width="14.33203125" style="128" customWidth="1"/>
    <col min="7426" max="7426" width="13.5546875" style="128" customWidth="1"/>
    <col min="7427" max="7428" width="12.6640625" style="128" customWidth="1"/>
    <col min="7429" max="7429" width="13.88671875" style="128" customWidth="1"/>
    <col min="7430" max="7430" width="12.88671875" style="128" customWidth="1"/>
    <col min="7431" max="7432" width="12.6640625" style="128" customWidth="1"/>
    <col min="7433" max="7433" width="5.33203125" style="128" customWidth="1"/>
    <col min="7434" max="7434" width="14.6640625" style="128" bestFit="1" customWidth="1"/>
    <col min="7435" max="7677" width="9.109375" style="128"/>
    <col min="7678" max="7678" width="11.6640625" style="128" customWidth="1"/>
    <col min="7679" max="7679" width="10.44140625" style="128" customWidth="1"/>
    <col min="7680" max="7680" width="65.109375" style="128" customWidth="1"/>
    <col min="7681" max="7681" width="14.33203125" style="128" customWidth="1"/>
    <col min="7682" max="7682" width="13.5546875" style="128" customWidth="1"/>
    <col min="7683" max="7684" width="12.6640625" style="128" customWidth="1"/>
    <col min="7685" max="7685" width="13.88671875" style="128" customWidth="1"/>
    <col min="7686" max="7686" width="12.88671875" style="128" customWidth="1"/>
    <col min="7687" max="7688" width="12.6640625" style="128" customWidth="1"/>
    <col min="7689" max="7689" width="5.33203125" style="128" customWidth="1"/>
    <col min="7690" max="7690" width="14.6640625" style="128" bestFit="1" customWidth="1"/>
    <col min="7691" max="7933" width="9.109375" style="128"/>
    <col min="7934" max="7934" width="11.6640625" style="128" customWidth="1"/>
    <col min="7935" max="7935" width="10.44140625" style="128" customWidth="1"/>
    <col min="7936" max="7936" width="65.109375" style="128" customWidth="1"/>
    <col min="7937" max="7937" width="14.33203125" style="128" customWidth="1"/>
    <col min="7938" max="7938" width="13.5546875" style="128" customWidth="1"/>
    <col min="7939" max="7940" width="12.6640625" style="128" customWidth="1"/>
    <col min="7941" max="7941" width="13.88671875" style="128" customWidth="1"/>
    <col min="7942" max="7942" width="12.88671875" style="128" customWidth="1"/>
    <col min="7943" max="7944" width="12.6640625" style="128" customWidth="1"/>
    <col min="7945" max="7945" width="5.33203125" style="128" customWidth="1"/>
    <col min="7946" max="7946" width="14.6640625" style="128" bestFit="1" customWidth="1"/>
    <col min="7947" max="8189" width="9.109375" style="128"/>
    <col min="8190" max="8190" width="11.6640625" style="128" customWidth="1"/>
    <col min="8191" max="8191" width="10.44140625" style="128" customWidth="1"/>
    <col min="8192" max="8192" width="65.109375" style="128" customWidth="1"/>
    <col min="8193" max="8193" width="14.33203125" style="128" customWidth="1"/>
    <col min="8194" max="8194" width="13.5546875" style="128" customWidth="1"/>
    <col min="8195" max="8196" width="12.6640625" style="128" customWidth="1"/>
    <col min="8197" max="8197" width="13.88671875" style="128" customWidth="1"/>
    <col min="8198" max="8198" width="12.88671875" style="128" customWidth="1"/>
    <col min="8199" max="8200" width="12.6640625" style="128" customWidth="1"/>
    <col min="8201" max="8201" width="5.33203125" style="128" customWidth="1"/>
    <col min="8202" max="8202" width="14.6640625" style="128" bestFit="1" customWidth="1"/>
    <col min="8203" max="8445" width="9.109375" style="128"/>
    <col min="8446" max="8446" width="11.6640625" style="128" customWidth="1"/>
    <col min="8447" max="8447" width="10.44140625" style="128" customWidth="1"/>
    <col min="8448" max="8448" width="65.109375" style="128" customWidth="1"/>
    <col min="8449" max="8449" width="14.33203125" style="128" customWidth="1"/>
    <col min="8450" max="8450" width="13.5546875" style="128" customWidth="1"/>
    <col min="8451" max="8452" width="12.6640625" style="128" customWidth="1"/>
    <col min="8453" max="8453" width="13.88671875" style="128" customWidth="1"/>
    <col min="8454" max="8454" width="12.88671875" style="128" customWidth="1"/>
    <col min="8455" max="8456" width="12.6640625" style="128" customWidth="1"/>
    <col min="8457" max="8457" width="5.33203125" style="128" customWidth="1"/>
    <col min="8458" max="8458" width="14.6640625" style="128" bestFit="1" customWidth="1"/>
    <col min="8459" max="8701" width="9.109375" style="128"/>
    <col min="8702" max="8702" width="11.6640625" style="128" customWidth="1"/>
    <col min="8703" max="8703" width="10.44140625" style="128" customWidth="1"/>
    <col min="8704" max="8704" width="65.109375" style="128" customWidth="1"/>
    <col min="8705" max="8705" width="14.33203125" style="128" customWidth="1"/>
    <col min="8706" max="8706" width="13.5546875" style="128" customWidth="1"/>
    <col min="8707" max="8708" width="12.6640625" style="128" customWidth="1"/>
    <col min="8709" max="8709" width="13.88671875" style="128" customWidth="1"/>
    <col min="8710" max="8710" width="12.88671875" style="128" customWidth="1"/>
    <col min="8711" max="8712" width="12.6640625" style="128" customWidth="1"/>
    <col min="8713" max="8713" width="5.33203125" style="128" customWidth="1"/>
    <col min="8714" max="8714" width="14.6640625" style="128" bestFit="1" customWidth="1"/>
    <col min="8715" max="8957" width="9.109375" style="128"/>
    <col min="8958" max="8958" width="11.6640625" style="128" customWidth="1"/>
    <col min="8959" max="8959" width="10.44140625" style="128" customWidth="1"/>
    <col min="8960" max="8960" width="65.109375" style="128" customWidth="1"/>
    <col min="8961" max="8961" width="14.33203125" style="128" customWidth="1"/>
    <col min="8962" max="8962" width="13.5546875" style="128" customWidth="1"/>
    <col min="8963" max="8964" width="12.6640625" style="128" customWidth="1"/>
    <col min="8965" max="8965" width="13.88671875" style="128" customWidth="1"/>
    <col min="8966" max="8966" width="12.88671875" style="128" customWidth="1"/>
    <col min="8967" max="8968" width="12.6640625" style="128" customWidth="1"/>
    <col min="8969" max="8969" width="5.33203125" style="128" customWidth="1"/>
    <col min="8970" max="8970" width="14.6640625" style="128" bestFit="1" customWidth="1"/>
    <col min="8971" max="9213" width="9.109375" style="128"/>
    <col min="9214" max="9214" width="11.6640625" style="128" customWidth="1"/>
    <col min="9215" max="9215" width="10.44140625" style="128" customWidth="1"/>
    <col min="9216" max="9216" width="65.109375" style="128" customWidth="1"/>
    <col min="9217" max="9217" width="14.33203125" style="128" customWidth="1"/>
    <col min="9218" max="9218" width="13.5546875" style="128" customWidth="1"/>
    <col min="9219" max="9220" width="12.6640625" style="128" customWidth="1"/>
    <col min="9221" max="9221" width="13.88671875" style="128" customWidth="1"/>
    <col min="9222" max="9222" width="12.88671875" style="128" customWidth="1"/>
    <col min="9223" max="9224" width="12.6640625" style="128" customWidth="1"/>
    <col min="9225" max="9225" width="5.33203125" style="128" customWidth="1"/>
    <col min="9226" max="9226" width="14.6640625" style="128" bestFit="1" customWidth="1"/>
    <col min="9227" max="9469" width="9.109375" style="128"/>
    <col min="9470" max="9470" width="11.6640625" style="128" customWidth="1"/>
    <col min="9471" max="9471" width="10.44140625" style="128" customWidth="1"/>
    <col min="9472" max="9472" width="65.109375" style="128" customWidth="1"/>
    <col min="9473" max="9473" width="14.33203125" style="128" customWidth="1"/>
    <col min="9474" max="9474" width="13.5546875" style="128" customWidth="1"/>
    <col min="9475" max="9476" width="12.6640625" style="128" customWidth="1"/>
    <col min="9477" max="9477" width="13.88671875" style="128" customWidth="1"/>
    <col min="9478" max="9478" width="12.88671875" style="128" customWidth="1"/>
    <col min="9479" max="9480" width="12.6640625" style="128" customWidth="1"/>
    <col min="9481" max="9481" width="5.33203125" style="128" customWidth="1"/>
    <col min="9482" max="9482" width="14.6640625" style="128" bestFit="1" customWidth="1"/>
    <col min="9483" max="9725" width="9.109375" style="128"/>
    <col min="9726" max="9726" width="11.6640625" style="128" customWidth="1"/>
    <col min="9727" max="9727" width="10.44140625" style="128" customWidth="1"/>
    <col min="9728" max="9728" width="65.109375" style="128" customWidth="1"/>
    <col min="9729" max="9729" width="14.33203125" style="128" customWidth="1"/>
    <col min="9730" max="9730" width="13.5546875" style="128" customWidth="1"/>
    <col min="9731" max="9732" width="12.6640625" style="128" customWidth="1"/>
    <col min="9733" max="9733" width="13.88671875" style="128" customWidth="1"/>
    <col min="9734" max="9734" width="12.88671875" style="128" customWidth="1"/>
    <col min="9735" max="9736" width="12.6640625" style="128" customWidth="1"/>
    <col min="9737" max="9737" width="5.33203125" style="128" customWidth="1"/>
    <col min="9738" max="9738" width="14.6640625" style="128" bestFit="1" customWidth="1"/>
    <col min="9739" max="9981" width="9.109375" style="128"/>
    <col min="9982" max="9982" width="11.6640625" style="128" customWidth="1"/>
    <col min="9983" max="9983" width="10.44140625" style="128" customWidth="1"/>
    <col min="9984" max="9984" width="65.109375" style="128" customWidth="1"/>
    <col min="9985" max="9985" width="14.33203125" style="128" customWidth="1"/>
    <col min="9986" max="9986" width="13.5546875" style="128" customWidth="1"/>
    <col min="9987" max="9988" width="12.6640625" style="128" customWidth="1"/>
    <col min="9989" max="9989" width="13.88671875" style="128" customWidth="1"/>
    <col min="9990" max="9990" width="12.88671875" style="128" customWidth="1"/>
    <col min="9991" max="9992" width="12.6640625" style="128" customWidth="1"/>
    <col min="9993" max="9993" width="5.33203125" style="128" customWidth="1"/>
    <col min="9994" max="9994" width="14.6640625" style="128" bestFit="1" customWidth="1"/>
    <col min="9995" max="10237" width="9.109375" style="128"/>
    <col min="10238" max="10238" width="11.6640625" style="128" customWidth="1"/>
    <col min="10239" max="10239" width="10.44140625" style="128" customWidth="1"/>
    <col min="10240" max="10240" width="65.109375" style="128" customWidth="1"/>
    <col min="10241" max="10241" width="14.33203125" style="128" customWidth="1"/>
    <col min="10242" max="10242" width="13.5546875" style="128" customWidth="1"/>
    <col min="10243" max="10244" width="12.6640625" style="128" customWidth="1"/>
    <col min="10245" max="10245" width="13.88671875" style="128" customWidth="1"/>
    <col min="10246" max="10246" width="12.88671875" style="128" customWidth="1"/>
    <col min="10247" max="10248" width="12.6640625" style="128" customWidth="1"/>
    <col min="10249" max="10249" width="5.33203125" style="128" customWidth="1"/>
    <col min="10250" max="10250" width="14.6640625" style="128" bestFit="1" customWidth="1"/>
    <col min="10251" max="10493" width="9.109375" style="128"/>
    <col min="10494" max="10494" width="11.6640625" style="128" customWidth="1"/>
    <col min="10495" max="10495" width="10.44140625" style="128" customWidth="1"/>
    <col min="10496" max="10496" width="65.109375" style="128" customWidth="1"/>
    <col min="10497" max="10497" width="14.33203125" style="128" customWidth="1"/>
    <col min="10498" max="10498" width="13.5546875" style="128" customWidth="1"/>
    <col min="10499" max="10500" width="12.6640625" style="128" customWidth="1"/>
    <col min="10501" max="10501" width="13.88671875" style="128" customWidth="1"/>
    <col min="10502" max="10502" width="12.88671875" style="128" customWidth="1"/>
    <col min="10503" max="10504" width="12.6640625" style="128" customWidth="1"/>
    <col min="10505" max="10505" width="5.33203125" style="128" customWidth="1"/>
    <col min="10506" max="10506" width="14.6640625" style="128" bestFit="1" customWidth="1"/>
    <col min="10507" max="10749" width="9.109375" style="128"/>
    <col min="10750" max="10750" width="11.6640625" style="128" customWidth="1"/>
    <col min="10751" max="10751" width="10.44140625" style="128" customWidth="1"/>
    <col min="10752" max="10752" width="65.109375" style="128" customWidth="1"/>
    <col min="10753" max="10753" width="14.33203125" style="128" customWidth="1"/>
    <col min="10754" max="10754" width="13.5546875" style="128" customWidth="1"/>
    <col min="10755" max="10756" width="12.6640625" style="128" customWidth="1"/>
    <col min="10757" max="10757" width="13.88671875" style="128" customWidth="1"/>
    <col min="10758" max="10758" width="12.88671875" style="128" customWidth="1"/>
    <col min="10759" max="10760" width="12.6640625" style="128" customWidth="1"/>
    <col min="10761" max="10761" width="5.33203125" style="128" customWidth="1"/>
    <col min="10762" max="10762" width="14.6640625" style="128" bestFit="1" customWidth="1"/>
    <col min="10763" max="11005" width="9.109375" style="128"/>
    <col min="11006" max="11006" width="11.6640625" style="128" customWidth="1"/>
    <col min="11007" max="11007" width="10.44140625" style="128" customWidth="1"/>
    <col min="11008" max="11008" width="65.109375" style="128" customWidth="1"/>
    <col min="11009" max="11009" width="14.33203125" style="128" customWidth="1"/>
    <col min="11010" max="11010" width="13.5546875" style="128" customWidth="1"/>
    <col min="11011" max="11012" width="12.6640625" style="128" customWidth="1"/>
    <col min="11013" max="11013" width="13.88671875" style="128" customWidth="1"/>
    <col min="11014" max="11014" width="12.88671875" style="128" customWidth="1"/>
    <col min="11015" max="11016" width="12.6640625" style="128" customWidth="1"/>
    <col min="11017" max="11017" width="5.33203125" style="128" customWidth="1"/>
    <col min="11018" max="11018" width="14.6640625" style="128" bestFit="1" customWidth="1"/>
    <col min="11019" max="11261" width="9.109375" style="128"/>
    <col min="11262" max="11262" width="11.6640625" style="128" customWidth="1"/>
    <col min="11263" max="11263" width="10.44140625" style="128" customWidth="1"/>
    <col min="11264" max="11264" width="65.109375" style="128" customWidth="1"/>
    <col min="11265" max="11265" width="14.33203125" style="128" customWidth="1"/>
    <col min="11266" max="11266" width="13.5546875" style="128" customWidth="1"/>
    <col min="11267" max="11268" width="12.6640625" style="128" customWidth="1"/>
    <col min="11269" max="11269" width="13.88671875" style="128" customWidth="1"/>
    <col min="11270" max="11270" width="12.88671875" style="128" customWidth="1"/>
    <col min="11271" max="11272" width="12.6640625" style="128" customWidth="1"/>
    <col min="11273" max="11273" width="5.33203125" style="128" customWidth="1"/>
    <col min="11274" max="11274" width="14.6640625" style="128" bestFit="1" customWidth="1"/>
    <col min="11275" max="11517" width="9.109375" style="128"/>
    <col min="11518" max="11518" width="11.6640625" style="128" customWidth="1"/>
    <col min="11519" max="11519" width="10.44140625" style="128" customWidth="1"/>
    <col min="11520" max="11520" width="65.109375" style="128" customWidth="1"/>
    <col min="11521" max="11521" width="14.33203125" style="128" customWidth="1"/>
    <col min="11522" max="11522" width="13.5546875" style="128" customWidth="1"/>
    <col min="11523" max="11524" width="12.6640625" style="128" customWidth="1"/>
    <col min="11525" max="11525" width="13.88671875" style="128" customWidth="1"/>
    <col min="11526" max="11526" width="12.88671875" style="128" customWidth="1"/>
    <col min="11527" max="11528" width="12.6640625" style="128" customWidth="1"/>
    <col min="11529" max="11529" width="5.33203125" style="128" customWidth="1"/>
    <col min="11530" max="11530" width="14.6640625" style="128" bestFit="1" customWidth="1"/>
    <col min="11531" max="11773" width="9.109375" style="128"/>
    <col min="11774" max="11774" width="11.6640625" style="128" customWidth="1"/>
    <col min="11775" max="11775" width="10.44140625" style="128" customWidth="1"/>
    <col min="11776" max="11776" width="65.109375" style="128" customWidth="1"/>
    <col min="11777" max="11777" width="14.33203125" style="128" customWidth="1"/>
    <col min="11778" max="11778" width="13.5546875" style="128" customWidth="1"/>
    <col min="11779" max="11780" width="12.6640625" style="128" customWidth="1"/>
    <col min="11781" max="11781" width="13.88671875" style="128" customWidth="1"/>
    <col min="11782" max="11782" width="12.88671875" style="128" customWidth="1"/>
    <col min="11783" max="11784" width="12.6640625" style="128" customWidth="1"/>
    <col min="11785" max="11785" width="5.33203125" style="128" customWidth="1"/>
    <col min="11786" max="11786" width="14.6640625" style="128" bestFit="1" customWidth="1"/>
    <col min="11787" max="12029" width="9.109375" style="128"/>
    <col min="12030" max="12030" width="11.6640625" style="128" customWidth="1"/>
    <col min="12031" max="12031" width="10.44140625" style="128" customWidth="1"/>
    <col min="12032" max="12032" width="65.109375" style="128" customWidth="1"/>
    <col min="12033" max="12033" width="14.33203125" style="128" customWidth="1"/>
    <col min="12034" max="12034" width="13.5546875" style="128" customWidth="1"/>
    <col min="12035" max="12036" width="12.6640625" style="128" customWidth="1"/>
    <col min="12037" max="12037" width="13.88671875" style="128" customWidth="1"/>
    <col min="12038" max="12038" width="12.88671875" style="128" customWidth="1"/>
    <col min="12039" max="12040" width="12.6640625" style="128" customWidth="1"/>
    <col min="12041" max="12041" width="5.33203125" style="128" customWidth="1"/>
    <col min="12042" max="12042" width="14.6640625" style="128" bestFit="1" customWidth="1"/>
    <col min="12043" max="12285" width="9.109375" style="128"/>
    <col min="12286" max="12286" width="11.6640625" style="128" customWidth="1"/>
    <col min="12287" max="12287" width="10.44140625" style="128" customWidth="1"/>
    <col min="12288" max="12288" width="65.109375" style="128" customWidth="1"/>
    <col min="12289" max="12289" width="14.33203125" style="128" customWidth="1"/>
    <col min="12290" max="12290" width="13.5546875" style="128" customWidth="1"/>
    <col min="12291" max="12292" width="12.6640625" style="128" customWidth="1"/>
    <col min="12293" max="12293" width="13.88671875" style="128" customWidth="1"/>
    <col min="12294" max="12294" width="12.88671875" style="128" customWidth="1"/>
    <col min="12295" max="12296" width="12.6640625" style="128" customWidth="1"/>
    <col min="12297" max="12297" width="5.33203125" style="128" customWidth="1"/>
    <col min="12298" max="12298" width="14.6640625" style="128" bestFit="1" customWidth="1"/>
    <col min="12299" max="12541" width="9.109375" style="128"/>
    <col min="12542" max="12542" width="11.6640625" style="128" customWidth="1"/>
    <col min="12543" max="12543" width="10.44140625" style="128" customWidth="1"/>
    <col min="12544" max="12544" width="65.109375" style="128" customWidth="1"/>
    <col min="12545" max="12545" width="14.33203125" style="128" customWidth="1"/>
    <col min="12546" max="12546" width="13.5546875" style="128" customWidth="1"/>
    <col min="12547" max="12548" width="12.6640625" style="128" customWidth="1"/>
    <col min="12549" max="12549" width="13.88671875" style="128" customWidth="1"/>
    <col min="12550" max="12550" width="12.88671875" style="128" customWidth="1"/>
    <col min="12551" max="12552" width="12.6640625" style="128" customWidth="1"/>
    <col min="12553" max="12553" width="5.33203125" style="128" customWidth="1"/>
    <col min="12554" max="12554" width="14.6640625" style="128" bestFit="1" customWidth="1"/>
    <col min="12555" max="12797" width="9.109375" style="128"/>
    <col min="12798" max="12798" width="11.6640625" style="128" customWidth="1"/>
    <col min="12799" max="12799" width="10.44140625" style="128" customWidth="1"/>
    <col min="12800" max="12800" width="65.109375" style="128" customWidth="1"/>
    <col min="12801" max="12801" width="14.33203125" style="128" customWidth="1"/>
    <col min="12802" max="12802" width="13.5546875" style="128" customWidth="1"/>
    <col min="12803" max="12804" width="12.6640625" style="128" customWidth="1"/>
    <col min="12805" max="12805" width="13.88671875" style="128" customWidth="1"/>
    <col min="12806" max="12806" width="12.88671875" style="128" customWidth="1"/>
    <col min="12807" max="12808" width="12.6640625" style="128" customWidth="1"/>
    <col min="12809" max="12809" width="5.33203125" style="128" customWidth="1"/>
    <col min="12810" max="12810" width="14.6640625" style="128" bestFit="1" customWidth="1"/>
    <col min="12811" max="13053" width="9.109375" style="128"/>
    <col min="13054" max="13054" width="11.6640625" style="128" customWidth="1"/>
    <col min="13055" max="13055" width="10.44140625" style="128" customWidth="1"/>
    <col min="13056" max="13056" width="65.109375" style="128" customWidth="1"/>
    <col min="13057" max="13057" width="14.33203125" style="128" customWidth="1"/>
    <col min="13058" max="13058" width="13.5546875" style="128" customWidth="1"/>
    <col min="13059" max="13060" width="12.6640625" style="128" customWidth="1"/>
    <col min="13061" max="13061" width="13.88671875" style="128" customWidth="1"/>
    <col min="13062" max="13062" width="12.88671875" style="128" customWidth="1"/>
    <col min="13063" max="13064" width="12.6640625" style="128" customWidth="1"/>
    <col min="13065" max="13065" width="5.33203125" style="128" customWidth="1"/>
    <col min="13066" max="13066" width="14.6640625" style="128" bestFit="1" customWidth="1"/>
    <col min="13067" max="13309" width="9.109375" style="128"/>
    <col min="13310" max="13310" width="11.6640625" style="128" customWidth="1"/>
    <col min="13311" max="13311" width="10.44140625" style="128" customWidth="1"/>
    <col min="13312" max="13312" width="65.109375" style="128" customWidth="1"/>
    <col min="13313" max="13313" width="14.33203125" style="128" customWidth="1"/>
    <col min="13314" max="13314" width="13.5546875" style="128" customWidth="1"/>
    <col min="13315" max="13316" width="12.6640625" style="128" customWidth="1"/>
    <col min="13317" max="13317" width="13.88671875" style="128" customWidth="1"/>
    <col min="13318" max="13318" width="12.88671875" style="128" customWidth="1"/>
    <col min="13319" max="13320" width="12.6640625" style="128" customWidth="1"/>
    <col min="13321" max="13321" width="5.33203125" style="128" customWidth="1"/>
    <col min="13322" max="13322" width="14.6640625" style="128" bestFit="1" customWidth="1"/>
    <col min="13323" max="13565" width="9.109375" style="128"/>
    <col min="13566" max="13566" width="11.6640625" style="128" customWidth="1"/>
    <col min="13567" max="13567" width="10.44140625" style="128" customWidth="1"/>
    <col min="13568" max="13568" width="65.109375" style="128" customWidth="1"/>
    <col min="13569" max="13569" width="14.33203125" style="128" customWidth="1"/>
    <col min="13570" max="13570" width="13.5546875" style="128" customWidth="1"/>
    <col min="13571" max="13572" width="12.6640625" style="128" customWidth="1"/>
    <col min="13573" max="13573" width="13.88671875" style="128" customWidth="1"/>
    <col min="13574" max="13574" width="12.88671875" style="128" customWidth="1"/>
    <col min="13575" max="13576" width="12.6640625" style="128" customWidth="1"/>
    <col min="13577" max="13577" width="5.33203125" style="128" customWidth="1"/>
    <col min="13578" max="13578" width="14.6640625" style="128" bestFit="1" customWidth="1"/>
    <col min="13579" max="13821" width="9.109375" style="128"/>
    <col min="13822" max="13822" width="11.6640625" style="128" customWidth="1"/>
    <col min="13823" max="13823" width="10.44140625" style="128" customWidth="1"/>
    <col min="13824" max="13824" width="65.109375" style="128" customWidth="1"/>
    <col min="13825" max="13825" width="14.33203125" style="128" customWidth="1"/>
    <col min="13826" max="13826" width="13.5546875" style="128" customWidth="1"/>
    <col min="13827" max="13828" width="12.6640625" style="128" customWidth="1"/>
    <col min="13829" max="13829" width="13.88671875" style="128" customWidth="1"/>
    <col min="13830" max="13830" width="12.88671875" style="128" customWidth="1"/>
    <col min="13831" max="13832" width="12.6640625" style="128" customWidth="1"/>
    <col min="13833" max="13833" width="5.33203125" style="128" customWidth="1"/>
    <col min="13834" max="13834" width="14.6640625" style="128" bestFit="1" customWidth="1"/>
    <col min="13835" max="14077" width="9.109375" style="128"/>
    <col min="14078" max="14078" width="11.6640625" style="128" customWidth="1"/>
    <col min="14079" max="14079" width="10.44140625" style="128" customWidth="1"/>
    <col min="14080" max="14080" width="65.109375" style="128" customWidth="1"/>
    <col min="14081" max="14081" width="14.33203125" style="128" customWidth="1"/>
    <col min="14082" max="14082" width="13.5546875" style="128" customWidth="1"/>
    <col min="14083" max="14084" width="12.6640625" style="128" customWidth="1"/>
    <col min="14085" max="14085" width="13.88671875" style="128" customWidth="1"/>
    <col min="14086" max="14086" width="12.88671875" style="128" customWidth="1"/>
    <col min="14087" max="14088" width="12.6640625" style="128" customWidth="1"/>
    <col min="14089" max="14089" width="5.33203125" style="128" customWidth="1"/>
    <col min="14090" max="14090" width="14.6640625" style="128" bestFit="1" customWidth="1"/>
    <col min="14091" max="14333" width="9.109375" style="128"/>
    <col min="14334" max="14334" width="11.6640625" style="128" customWidth="1"/>
    <col min="14335" max="14335" width="10.44140625" style="128" customWidth="1"/>
    <col min="14336" max="14336" width="65.109375" style="128" customWidth="1"/>
    <col min="14337" max="14337" width="14.33203125" style="128" customWidth="1"/>
    <col min="14338" max="14338" width="13.5546875" style="128" customWidth="1"/>
    <col min="14339" max="14340" width="12.6640625" style="128" customWidth="1"/>
    <col min="14341" max="14341" width="13.88671875" style="128" customWidth="1"/>
    <col min="14342" max="14342" width="12.88671875" style="128" customWidth="1"/>
    <col min="14343" max="14344" width="12.6640625" style="128" customWidth="1"/>
    <col min="14345" max="14345" width="5.33203125" style="128" customWidth="1"/>
    <col min="14346" max="14346" width="14.6640625" style="128" bestFit="1" customWidth="1"/>
    <col min="14347" max="14589" width="9.109375" style="128"/>
    <col min="14590" max="14590" width="11.6640625" style="128" customWidth="1"/>
    <col min="14591" max="14591" width="10.44140625" style="128" customWidth="1"/>
    <col min="14592" max="14592" width="65.109375" style="128" customWidth="1"/>
    <col min="14593" max="14593" width="14.33203125" style="128" customWidth="1"/>
    <col min="14594" max="14594" width="13.5546875" style="128" customWidth="1"/>
    <col min="14595" max="14596" width="12.6640625" style="128" customWidth="1"/>
    <col min="14597" max="14597" width="13.88671875" style="128" customWidth="1"/>
    <col min="14598" max="14598" width="12.88671875" style="128" customWidth="1"/>
    <col min="14599" max="14600" width="12.6640625" style="128" customWidth="1"/>
    <col min="14601" max="14601" width="5.33203125" style="128" customWidth="1"/>
    <col min="14602" max="14602" width="14.6640625" style="128" bestFit="1" customWidth="1"/>
    <col min="14603" max="14845" width="9.109375" style="128"/>
    <col min="14846" max="14846" width="11.6640625" style="128" customWidth="1"/>
    <col min="14847" max="14847" width="10.44140625" style="128" customWidth="1"/>
    <col min="14848" max="14848" width="65.109375" style="128" customWidth="1"/>
    <col min="14849" max="14849" width="14.33203125" style="128" customWidth="1"/>
    <col min="14850" max="14850" width="13.5546875" style="128" customWidth="1"/>
    <col min="14851" max="14852" width="12.6640625" style="128" customWidth="1"/>
    <col min="14853" max="14853" width="13.88671875" style="128" customWidth="1"/>
    <col min="14854" max="14854" width="12.88671875" style="128" customWidth="1"/>
    <col min="14855" max="14856" width="12.6640625" style="128" customWidth="1"/>
    <col min="14857" max="14857" width="5.33203125" style="128" customWidth="1"/>
    <col min="14858" max="14858" width="14.6640625" style="128" bestFit="1" customWidth="1"/>
    <col min="14859" max="15101" width="9.109375" style="128"/>
    <col min="15102" max="15102" width="11.6640625" style="128" customWidth="1"/>
    <col min="15103" max="15103" width="10.44140625" style="128" customWidth="1"/>
    <col min="15104" max="15104" width="65.109375" style="128" customWidth="1"/>
    <col min="15105" max="15105" width="14.33203125" style="128" customWidth="1"/>
    <col min="15106" max="15106" width="13.5546875" style="128" customWidth="1"/>
    <col min="15107" max="15108" width="12.6640625" style="128" customWidth="1"/>
    <col min="15109" max="15109" width="13.88671875" style="128" customWidth="1"/>
    <col min="15110" max="15110" width="12.88671875" style="128" customWidth="1"/>
    <col min="15111" max="15112" width="12.6640625" style="128" customWidth="1"/>
    <col min="15113" max="15113" width="5.33203125" style="128" customWidth="1"/>
    <col min="15114" max="15114" width="14.6640625" style="128" bestFit="1" customWidth="1"/>
    <col min="15115" max="15357" width="9.109375" style="128"/>
    <col min="15358" max="15358" width="11.6640625" style="128" customWidth="1"/>
    <col min="15359" max="15359" width="10.44140625" style="128" customWidth="1"/>
    <col min="15360" max="15360" width="65.109375" style="128" customWidth="1"/>
    <col min="15361" max="15361" width="14.33203125" style="128" customWidth="1"/>
    <col min="15362" max="15362" width="13.5546875" style="128" customWidth="1"/>
    <col min="15363" max="15364" width="12.6640625" style="128" customWidth="1"/>
    <col min="15365" max="15365" width="13.88671875" style="128" customWidth="1"/>
    <col min="15366" max="15366" width="12.88671875" style="128" customWidth="1"/>
    <col min="15367" max="15368" width="12.6640625" style="128" customWidth="1"/>
    <col min="15369" max="15369" width="5.33203125" style="128" customWidth="1"/>
    <col min="15370" max="15370" width="14.6640625" style="128" bestFit="1" customWidth="1"/>
    <col min="15371" max="15613" width="9.109375" style="128"/>
    <col min="15614" max="15614" width="11.6640625" style="128" customWidth="1"/>
    <col min="15615" max="15615" width="10.44140625" style="128" customWidth="1"/>
    <col min="15616" max="15616" width="65.109375" style="128" customWidth="1"/>
    <col min="15617" max="15617" width="14.33203125" style="128" customWidth="1"/>
    <col min="15618" max="15618" width="13.5546875" style="128" customWidth="1"/>
    <col min="15619" max="15620" width="12.6640625" style="128" customWidth="1"/>
    <col min="15621" max="15621" width="13.88671875" style="128" customWidth="1"/>
    <col min="15622" max="15622" width="12.88671875" style="128" customWidth="1"/>
    <col min="15623" max="15624" width="12.6640625" style="128" customWidth="1"/>
    <col min="15625" max="15625" width="5.33203125" style="128" customWidth="1"/>
    <col min="15626" max="15626" width="14.6640625" style="128" bestFit="1" customWidth="1"/>
    <col min="15627" max="15869" width="9.109375" style="128"/>
    <col min="15870" max="15870" width="11.6640625" style="128" customWidth="1"/>
    <col min="15871" max="15871" width="10.44140625" style="128" customWidth="1"/>
    <col min="15872" max="15872" width="65.109375" style="128" customWidth="1"/>
    <col min="15873" max="15873" width="14.33203125" style="128" customWidth="1"/>
    <col min="15874" max="15874" width="13.5546875" style="128" customWidth="1"/>
    <col min="15875" max="15876" width="12.6640625" style="128" customWidth="1"/>
    <col min="15877" max="15877" width="13.88671875" style="128" customWidth="1"/>
    <col min="15878" max="15878" width="12.88671875" style="128" customWidth="1"/>
    <col min="15879" max="15880" width="12.6640625" style="128" customWidth="1"/>
    <col min="15881" max="15881" width="5.33203125" style="128" customWidth="1"/>
    <col min="15882" max="15882" width="14.6640625" style="128" bestFit="1" customWidth="1"/>
    <col min="15883" max="16125" width="9.109375" style="128"/>
    <col min="16126" max="16126" width="11.6640625" style="128" customWidth="1"/>
    <col min="16127" max="16127" width="10.44140625" style="128" customWidth="1"/>
    <col min="16128" max="16128" width="65.109375" style="128" customWidth="1"/>
    <col min="16129" max="16129" width="14.33203125" style="128" customWidth="1"/>
    <col min="16130" max="16130" width="13.5546875" style="128" customWidth="1"/>
    <col min="16131" max="16132" width="12.6640625" style="128" customWidth="1"/>
    <col min="16133" max="16133" width="13.88671875" style="128" customWidth="1"/>
    <col min="16134" max="16134" width="12.88671875" style="128" customWidth="1"/>
    <col min="16135" max="16136" width="12.6640625" style="128" customWidth="1"/>
    <col min="16137" max="16137" width="5.33203125" style="128" customWidth="1"/>
    <col min="16138" max="16138" width="14.6640625" style="128" bestFit="1" customWidth="1"/>
    <col min="16139" max="16384" width="9.109375" style="128"/>
  </cols>
  <sheetData>
    <row r="1" spans="1:11" s="121" customFormat="1" x14ac:dyDescent="0.3">
      <c r="A1" s="117"/>
      <c r="B1" s="118"/>
      <c r="C1" s="118"/>
      <c r="D1" s="118"/>
      <c r="E1" s="118"/>
      <c r="F1" s="118"/>
      <c r="G1" s="118"/>
      <c r="H1" s="118"/>
      <c r="I1" s="118"/>
      <c r="J1" s="119"/>
      <c r="K1" s="120"/>
    </row>
    <row r="2" spans="1:11" s="121" customFormat="1" x14ac:dyDescent="0.3">
      <c r="A2" s="122"/>
      <c r="B2" s="175"/>
      <c r="C2" s="585"/>
      <c r="D2" s="585"/>
      <c r="E2" s="585"/>
      <c r="F2" s="585"/>
      <c r="G2" s="585"/>
      <c r="H2" s="585"/>
      <c r="I2" s="585"/>
      <c r="J2" s="585"/>
      <c r="K2" s="526"/>
    </row>
    <row r="3" spans="1:11" s="121" customFormat="1" x14ac:dyDescent="0.3">
      <c r="A3" s="122"/>
      <c r="B3" s="175"/>
      <c r="C3" s="585"/>
      <c r="D3" s="585"/>
      <c r="E3" s="585"/>
      <c r="F3" s="585"/>
      <c r="G3" s="585"/>
      <c r="H3" s="585"/>
      <c r="I3" s="585"/>
      <c r="J3" s="585"/>
      <c r="K3" s="526"/>
    </row>
    <row r="4" spans="1:11" s="121" customFormat="1" x14ac:dyDescent="0.3">
      <c r="A4" s="122"/>
      <c r="B4" s="175"/>
      <c r="C4" s="585"/>
      <c r="D4" s="585"/>
      <c r="E4" s="585"/>
      <c r="F4" s="585"/>
      <c r="G4" s="585"/>
      <c r="H4" s="585"/>
      <c r="I4" s="585"/>
      <c r="J4" s="585"/>
      <c r="K4" s="526"/>
    </row>
    <row r="5" spans="1:11" s="121" customFormat="1" x14ac:dyDescent="0.3">
      <c r="A5" s="122"/>
      <c r="B5" s="175"/>
      <c r="C5" s="585"/>
      <c r="D5" s="585"/>
      <c r="E5" s="585"/>
      <c r="F5" s="585"/>
      <c r="G5" s="585"/>
      <c r="H5" s="585"/>
      <c r="I5" s="585"/>
      <c r="J5" s="585"/>
      <c r="K5" s="526"/>
    </row>
    <row r="6" spans="1:11" s="121" customFormat="1" x14ac:dyDescent="0.3">
      <c r="A6" s="122"/>
      <c r="B6" s="175"/>
      <c r="C6" s="585"/>
      <c r="D6" s="585"/>
      <c r="E6" s="585"/>
      <c r="F6" s="585"/>
      <c r="G6" s="585"/>
      <c r="H6" s="585"/>
      <c r="I6" s="585"/>
      <c r="J6" s="585"/>
      <c r="K6" s="526"/>
    </row>
    <row r="7" spans="1:11" ht="14.4" thickBot="1" x14ac:dyDescent="0.35">
      <c r="A7" s="124"/>
      <c r="B7" s="125"/>
      <c r="C7" s="125"/>
      <c r="D7" s="126"/>
      <c r="E7" s="126"/>
      <c r="F7" s="125"/>
      <c r="G7" s="125"/>
      <c r="H7" s="125"/>
      <c r="I7" s="125"/>
      <c r="J7" s="125"/>
      <c r="K7" s="127"/>
    </row>
    <row r="8" spans="1:11" ht="2.25" customHeight="1" thickBot="1" x14ac:dyDescent="0.35">
      <c r="F8" s="129"/>
      <c r="G8" s="129"/>
      <c r="H8" s="129"/>
    </row>
    <row r="9" spans="1:11" ht="21.6" thickBot="1" x14ac:dyDescent="0.35">
      <c r="A9" s="586" t="s">
        <v>284</v>
      </c>
      <c r="B9" s="587"/>
      <c r="C9" s="587"/>
      <c r="D9" s="587"/>
      <c r="E9" s="587"/>
      <c r="F9" s="587"/>
      <c r="G9" s="587"/>
      <c r="H9" s="587"/>
      <c r="I9" s="587"/>
      <c r="J9" s="587"/>
      <c r="K9" s="588"/>
    </row>
    <row r="10" spans="1:11" ht="18" customHeight="1" x14ac:dyDescent="0.3">
      <c r="A10" s="589" t="str">
        <f>'PLANILHA ORÇAMENTÁRIA'!$A$4:$F$4</f>
        <v>CONTRATANTE: MUNICÍPIO DE IBERTIOGA-MG.</v>
      </c>
      <c r="B10" s="590"/>
      <c r="C10" s="591"/>
      <c r="D10" s="290" t="s">
        <v>243</v>
      </c>
      <c r="E10" s="291"/>
      <c r="F10" s="293">
        <f>E38</f>
        <v>521800.66899704101</v>
      </c>
      <c r="G10" s="291"/>
      <c r="H10" s="292"/>
      <c r="I10" s="592" t="str">
        <f>'PLANILHA ORÇAMENTÁRIA'!H4</f>
        <v>DATA:  12/09/2024</v>
      </c>
      <c r="J10" s="590"/>
      <c r="K10" s="593"/>
    </row>
    <row r="11" spans="1:11" ht="52.2" customHeight="1" thickBot="1" x14ac:dyDescent="0.35">
      <c r="A11" s="594" t="str">
        <f>'PLANILHA ORÇAMENTÁRIA'!A5:F5</f>
        <v>OBRA: IMPLANTAÇÃO DE SISTEMAS SIMPLIFICADOS DE ABASTACIMENTO DE ÁGUA - 04 (QUATRO) POÇOS TUBULARES PROFUNDOS.</v>
      </c>
      <c r="B11" s="595"/>
      <c r="C11" s="596"/>
      <c r="D11" s="597" t="str">
        <f>'PLANILHA ORÇAMENTÁRIA'!A6</f>
        <v>LOCALIDADES: 1 - ESTRADA DE ACESSO - COMUNIDADE AGUADA; 2 - COMUNIDADE CAPOEIRAS; 3 - COMUNIDADE FLORENÇA; E 4 - COMUNIDADE DE PORTEIRINHAS (1ª ETAPA) - ZONA RURAL - IBERTIOGA-MG</v>
      </c>
      <c r="E11" s="595"/>
      <c r="F11" s="595"/>
      <c r="G11" s="595"/>
      <c r="H11" s="596"/>
      <c r="I11" s="598" t="str">
        <f>'PLANILHA ORÇAMENTÁRIA'!A8</f>
        <v>PRAZO DE EXECUÇÃO: 03 (TRÊS) MESES</v>
      </c>
      <c r="J11" s="599"/>
      <c r="K11" s="600"/>
    </row>
    <row r="12" spans="1:11" ht="36" customHeight="1" x14ac:dyDescent="0.3">
      <c r="A12" s="132" t="s">
        <v>39</v>
      </c>
      <c r="B12" s="133" t="s">
        <v>204</v>
      </c>
      <c r="C12" s="133" t="s">
        <v>205</v>
      </c>
      <c r="D12" s="134" t="s">
        <v>206</v>
      </c>
      <c r="E12" s="134" t="s">
        <v>207</v>
      </c>
      <c r="F12" s="133" t="s">
        <v>208</v>
      </c>
      <c r="G12" s="133" t="s">
        <v>209</v>
      </c>
      <c r="H12" s="133" t="s">
        <v>210</v>
      </c>
      <c r="I12" s="133" t="s">
        <v>211</v>
      </c>
      <c r="J12" s="133" t="s">
        <v>212</v>
      </c>
      <c r="K12" s="135" t="s">
        <v>213</v>
      </c>
    </row>
    <row r="13" spans="1:11" ht="14.25" customHeight="1" x14ac:dyDescent="0.3">
      <c r="A13" s="601" t="str">
        <f>'PLANILHA ORÇAMENTÁRIA'!A13</f>
        <v>01.</v>
      </c>
      <c r="B13" s="603"/>
      <c r="C13" s="605" t="str">
        <f>'PLANILHA ORÇAMENTÁRIA'!C13</f>
        <v>SERVIÇOS PRELIMINARES</v>
      </c>
      <c r="D13" s="136" t="s">
        <v>214</v>
      </c>
      <c r="E13" s="137">
        <f>E14*100%/E38</f>
        <v>1.9438342268697853E-2</v>
      </c>
      <c r="F13" s="137">
        <v>1</v>
      </c>
      <c r="G13" s="137"/>
      <c r="H13" s="137"/>
      <c r="I13" s="137"/>
      <c r="J13" s="137"/>
      <c r="K13" s="138"/>
    </row>
    <row r="14" spans="1:11" ht="14.25" customHeight="1" x14ac:dyDescent="0.3">
      <c r="A14" s="602"/>
      <c r="B14" s="604"/>
      <c r="C14" s="606"/>
      <c r="D14" s="140" t="s">
        <v>215</v>
      </c>
      <c r="E14" s="141">
        <f>'PLANILHA ORÇAMENTÁRIA'!I17</f>
        <v>10142.939999999999</v>
      </c>
      <c r="F14" s="142">
        <f t="shared" ref="F14:K14" si="0">F13*$E$14</f>
        <v>10142.939999999999</v>
      </c>
      <c r="G14" s="142">
        <f t="shared" si="0"/>
        <v>0</v>
      </c>
      <c r="H14" s="142">
        <f t="shared" si="0"/>
        <v>0</v>
      </c>
      <c r="I14" s="142">
        <f t="shared" si="0"/>
        <v>0</v>
      </c>
      <c r="J14" s="142">
        <f t="shared" si="0"/>
        <v>0</v>
      </c>
      <c r="K14" s="143">
        <f t="shared" si="0"/>
        <v>0</v>
      </c>
    </row>
    <row r="15" spans="1:11" ht="14.25" customHeight="1" x14ac:dyDescent="0.3">
      <c r="A15" s="607" t="str">
        <f>'PLANILHA ORÇAMENTÁRIA'!A18</f>
        <v>02.</v>
      </c>
      <c r="B15" s="608" t="s">
        <v>179</v>
      </c>
      <c r="C15" s="609" t="str">
        <f>'PLANILHA ORÇAMENTÁRIA'!C18</f>
        <v>PERFURAÇÃO DE POÇO TUBULAR PROFUNDO, PROFUNDIDADE MÉDIA DE 75,00M</v>
      </c>
      <c r="D15" s="140" t="s">
        <v>214</v>
      </c>
      <c r="E15" s="137">
        <f>E16*100%/E38</f>
        <v>0.38565814870801013</v>
      </c>
      <c r="F15" s="137">
        <v>0.5</v>
      </c>
      <c r="G15" s="137">
        <v>0.5</v>
      </c>
      <c r="H15" s="137"/>
      <c r="I15" s="137"/>
      <c r="J15" s="137"/>
      <c r="K15" s="138"/>
    </row>
    <row r="16" spans="1:11" ht="14.25" customHeight="1" x14ac:dyDescent="0.3">
      <c r="A16" s="602"/>
      <c r="B16" s="604"/>
      <c r="C16" s="606"/>
      <c r="D16" s="140" t="s">
        <v>215</v>
      </c>
      <c r="E16" s="141">
        <f>'PLANILHA ORÇAMENTÁRIA'!I39</f>
        <v>201236.68000000002</v>
      </c>
      <c r="F16" s="142">
        <f t="shared" ref="F16:K16" si="1">F15*$E$16</f>
        <v>100618.34000000001</v>
      </c>
      <c r="G16" s="142">
        <f t="shared" si="1"/>
        <v>100618.34000000001</v>
      </c>
      <c r="H16" s="142">
        <f t="shared" si="1"/>
        <v>0</v>
      </c>
      <c r="I16" s="142">
        <f t="shared" si="1"/>
        <v>0</v>
      </c>
      <c r="J16" s="142">
        <f t="shared" si="1"/>
        <v>0</v>
      </c>
      <c r="K16" s="143">
        <f t="shared" si="1"/>
        <v>0</v>
      </c>
    </row>
    <row r="17" spans="1:17" ht="14.25" customHeight="1" x14ac:dyDescent="0.3">
      <c r="A17" s="607" t="str">
        <f>'PLANILHA ORÇAMENTÁRIA'!A40</f>
        <v>03.</v>
      </c>
      <c r="B17" s="608"/>
      <c r="C17" s="609" t="str">
        <f>'PLANILHA ORÇAMENTÁRIA'!C40</f>
        <v>MONTAGEM E INSTALAÇÃO DE POÇO TUBULAR PROFUNDO 1.1/2", PROFUNDIDADE MÉDIA DE 75,00M</v>
      </c>
      <c r="D17" s="140" t="s">
        <v>214</v>
      </c>
      <c r="E17" s="137">
        <f>E18*100%/E38</f>
        <v>0.24156304790156327</v>
      </c>
      <c r="F17" s="137">
        <v>1</v>
      </c>
      <c r="G17" s="137"/>
      <c r="H17" s="137"/>
      <c r="I17" s="137"/>
      <c r="J17" s="137"/>
      <c r="K17" s="138"/>
    </row>
    <row r="18" spans="1:17" ht="14.25" customHeight="1" x14ac:dyDescent="0.3">
      <c r="A18" s="602"/>
      <c r="B18" s="604"/>
      <c r="C18" s="606"/>
      <c r="D18" s="140" t="s">
        <v>215</v>
      </c>
      <c r="E18" s="141">
        <f>'PLANILHA ORÇAMENTÁRIA'!I53</f>
        <v>126047.75999999998</v>
      </c>
      <c r="F18" s="142">
        <f t="shared" ref="F18:K18" si="2">F17*$E$18</f>
        <v>126047.75999999998</v>
      </c>
      <c r="G18" s="142">
        <f t="shared" si="2"/>
        <v>0</v>
      </c>
      <c r="H18" s="142">
        <f t="shared" si="2"/>
        <v>0</v>
      </c>
      <c r="I18" s="142">
        <f t="shared" si="2"/>
        <v>0</v>
      </c>
      <c r="J18" s="142">
        <f t="shared" si="2"/>
        <v>0</v>
      </c>
      <c r="K18" s="143">
        <f t="shared" si="2"/>
        <v>0</v>
      </c>
    </row>
    <row r="19" spans="1:17" ht="14.25" customHeight="1" x14ac:dyDescent="0.3">
      <c r="A19" s="607" t="str">
        <f>'PLANILHA ORÇAMENTÁRIA'!A54</f>
        <v>04.</v>
      </c>
      <c r="B19" s="608"/>
      <c r="C19" s="609" t="str">
        <f>'PLANILHA ORÇAMENTÁRIA'!C54</f>
        <v>ADUTORA DE ÁGUA BRUTA</v>
      </c>
      <c r="D19" s="140" t="s">
        <v>214</v>
      </c>
      <c r="E19" s="137">
        <f>E20*100%/E38</f>
        <v>0.10024233985851141</v>
      </c>
      <c r="F19" s="137"/>
      <c r="G19" s="137">
        <v>0.5</v>
      </c>
      <c r="H19" s="137">
        <v>0.5</v>
      </c>
      <c r="I19" s="137"/>
      <c r="J19" s="137"/>
      <c r="K19" s="138"/>
    </row>
    <row r="20" spans="1:17" ht="14.25" customHeight="1" x14ac:dyDescent="0.3">
      <c r="A20" s="602"/>
      <c r="B20" s="604"/>
      <c r="C20" s="606"/>
      <c r="D20" s="140" t="s">
        <v>215</v>
      </c>
      <c r="E20" s="141">
        <f>'PLANILHA ORÇAMENTÁRIA'!I65</f>
        <v>52306.520000000004</v>
      </c>
      <c r="F20" s="142">
        <f t="shared" ref="F20:K20" si="3">F19*$E$20</f>
        <v>0</v>
      </c>
      <c r="G20" s="142">
        <f t="shared" si="3"/>
        <v>26153.260000000002</v>
      </c>
      <c r="H20" s="142">
        <f t="shared" si="3"/>
        <v>26153.260000000002</v>
      </c>
      <c r="I20" s="142">
        <f t="shared" si="3"/>
        <v>0</v>
      </c>
      <c r="J20" s="142">
        <f t="shared" si="3"/>
        <v>0</v>
      </c>
      <c r="K20" s="143">
        <f t="shared" si="3"/>
        <v>0</v>
      </c>
    </row>
    <row r="21" spans="1:17" ht="14.25" customHeight="1" x14ac:dyDescent="0.3">
      <c r="A21" s="610" t="str">
        <f>'PLANILHA ORÇAMENTÁRIA'!A66</f>
        <v>05.</v>
      </c>
      <c r="B21" s="608"/>
      <c r="C21" s="609" t="str">
        <f>'PLANILHA ORÇAMENTÁRIA'!C66</f>
        <v>ESTAÇÃO DE TRATAMENTO DE ÁGUA</v>
      </c>
      <c r="D21" s="140" t="s">
        <v>214</v>
      </c>
      <c r="E21" s="137">
        <f>E22*100%/E38</f>
        <v>4.610189566494483E-3</v>
      </c>
      <c r="F21" s="137"/>
      <c r="G21" s="137"/>
      <c r="H21" s="137">
        <v>1</v>
      </c>
      <c r="I21" s="137"/>
      <c r="J21" s="137"/>
      <c r="K21" s="138"/>
    </row>
    <row r="22" spans="1:17" ht="14.25" customHeight="1" x14ac:dyDescent="0.3">
      <c r="A22" s="611"/>
      <c r="B22" s="612"/>
      <c r="C22" s="606"/>
      <c r="D22" s="140" t="s">
        <v>215</v>
      </c>
      <c r="E22" s="141">
        <f>'PLANILHA ORÇAMENTÁRIA'!I69</f>
        <v>2405.6</v>
      </c>
      <c r="F22" s="142">
        <f t="shared" ref="F22:K22" si="4">F21*$E$22</f>
        <v>0</v>
      </c>
      <c r="G22" s="142">
        <f t="shared" si="4"/>
        <v>0</v>
      </c>
      <c r="H22" s="142">
        <f t="shared" si="4"/>
        <v>2405.6</v>
      </c>
      <c r="I22" s="142">
        <f t="shared" si="4"/>
        <v>0</v>
      </c>
      <c r="J22" s="142">
        <f t="shared" si="4"/>
        <v>0</v>
      </c>
      <c r="K22" s="143">
        <f t="shared" si="4"/>
        <v>0</v>
      </c>
    </row>
    <row r="23" spans="1:17" ht="14.25" customHeight="1" x14ac:dyDescent="0.3">
      <c r="A23" s="610" t="str">
        <f>'PLANILHA ORÇAMENTÁRIA'!A70</f>
        <v>06.</v>
      </c>
      <c r="B23" s="608"/>
      <c r="C23" s="609" t="str">
        <f>'PLANILHA ORÇAMENTÁRIA'!C70</f>
        <v>RESERVATÓRIO DE ÁGUA POTÁVEL</v>
      </c>
      <c r="D23" s="140" t="s">
        <v>214</v>
      </c>
      <c r="E23" s="137">
        <f>E24*100%/E38</f>
        <v>3.4341657772197332E-2</v>
      </c>
      <c r="F23" s="137"/>
      <c r="G23" s="137"/>
      <c r="H23" s="137">
        <v>1</v>
      </c>
      <c r="I23" s="137"/>
      <c r="J23" s="137"/>
      <c r="K23" s="138"/>
    </row>
    <row r="24" spans="1:17" ht="26.25" customHeight="1" x14ac:dyDescent="0.3">
      <c r="A24" s="611"/>
      <c r="B24" s="612"/>
      <c r="C24" s="606"/>
      <c r="D24" s="144" t="s">
        <v>215</v>
      </c>
      <c r="E24" s="145">
        <f>'PLANILHA ORÇAMENTÁRIA'!I74</f>
        <v>17919.5</v>
      </c>
      <c r="F24" s="146">
        <f t="shared" ref="F24:K24" si="5">F23*$E$24</f>
        <v>0</v>
      </c>
      <c r="G24" s="146">
        <f t="shared" si="5"/>
        <v>0</v>
      </c>
      <c r="H24" s="146">
        <f t="shared" si="5"/>
        <v>17919.5</v>
      </c>
      <c r="I24" s="146">
        <f t="shared" si="5"/>
        <v>0</v>
      </c>
      <c r="J24" s="146">
        <f t="shared" si="5"/>
        <v>0</v>
      </c>
      <c r="K24" s="147">
        <f t="shared" si="5"/>
        <v>0</v>
      </c>
    </row>
    <row r="25" spans="1:17" ht="14.25" customHeight="1" x14ac:dyDescent="0.3">
      <c r="A25" s="607" t="str">
        <f>'PLANILHA ORÇAMENTÁRIA'!A75</f>
        <v>07.</v>
      </c>
      <c r="B25" s="608"/>
      <c r="C25" s="609" t="str">
        <f>'PLANILHA ORÇAMENTÁRIA'!C75</f>
        <v>REDE DISTRIBUIÇÃO DE ÁGUA</v>
      </c>
      <c r="D25" s="140" t="s">
        <v>214</v>
      </c>
      <c r="E25" s="137">
        <f>E26*100%/E38</f>
        <v>0.20917114954641605</v>
      </c>
      <c r="F25" s="137"/>
      <c r="G25" s="137">
        <v>0.5</v>
      </c>
      <c r="H25" s="137">
        <v>0.5</v>
      </c>
      <c r="I25" s="137"/>
      <c r="J25" s="137"/>
      <c r="K25" s="138"/>
    </row>
    <row r="26" spans="1:17" ht="14.25" customHeight="1" x14ac:dyDescent="0.3">
      <c r="A26" s="602"/>
      <c r="B26" s="604"/>
      <c r="C26" s="606"/>
      <c r="D26" s="140" t="s">
        <v>215</v>
      </c>
      <c r="E26" s="141">
        <f>'PLANILHA ORÇAMENTÁRIA'!I86</f>
        <v>109145.6457682</v>
      </c>
      <c r="F26" s="142">
        <f t="shared" ref="F26:K26" si="6">F25*$E$26</f>
        <v>0</v>
      </c>
      <c r="G26" s="142">
        <f t="shared" si="6"/>
        <v>54572.822884100002</v>
      </c>
      <c r="H26" s="142">
        <f t="shared" si="6"/>
        <v>54572.822884100002</v>
      </c>
      <c r="I26" s="142">
        <f t="shared" si="6"/>
        <v>0</v>
      </c>
      <c r="J26" s="142">
        <f t="shared" si="6"/>
        <v>0</v>
      </c>
      <c r="K26" s="143">
        <f t="shared" si="6"/>
        <v>0</v>
      </c>
    </row>
    <row r="27" spans="1:17" ht="14.25" customHeight="1" x14ac:dyDescent="0.3">
      <c r="A27" s="607" t="str">
        <f>'PLANILHA ORÇAMENTÁRIA'!A88</f>
        <v>08.</v>
      </c>
      <c r="B27" s="608"/>
      <c r="C27" s="609" t="str">
        <f>'PLANILHA ORÇAMENTÁRIA'!C88</f>
        <v>MOBILIZAÇÃO E DESMOBILIZAÇÃO</v>
      </c>
      <c r="D27" s="140" t="s">
        <v>214</v>
      </c>
      <c r="E27" s="137">
        <f>E28*100%/E38</f>
        <v>4.9751243781094535E-3</v>
      </c>
      <c r="F27" s="137">
        <v>0.5</v>
      </c>
      <c r="G27" s="137"/>
      <c r="H27" s="137">
        <v>0.5</v>
      </c>
      <c r="I27" s="137"/>
      <c r="J27" s="137"/>
      <c r="K27" s="138"/>
    </row>
    <row r="28" spans="1:17" ht="14.25" customHeight="1" x14ac:dyDescent="0.3">
      <c r="A28" s="602"/>
      <c r="B28" s="604"/>
      <c r="C28" s="606"/>
      <c r="D28" s="140" t="s">
        <v>215</v>
      </c>
      <c r="E28" s="141">
        <f>'PLANILHA ORÇAMENTÁRIA'!I90</f>
        <v>2596.0232288410002</v>
      </c>
      <c r="F28" s="142">
        <f t="shared" ref="F28:K28" si="7">F27*$E$28</f>
        <v>1298.0116144205001</v>
      </c>
      <c r="G28" s="142">
        <f t="shared" si="7"/>
        <v>0</v>
      </c>
      <c r="H28" s="142">
        <f t="shared" si="7"/>
        <v>1298.0116144205001</v>
      </c>
      <c r="I28" s="142">
        <f t="shared" si="7"/>
        <v>0</v>
      </c>
      <c r="J28" s="142">
        <f t="shared" si="7"/>
        <v>0</v>
      </c>
      <c r="K28" s="143">
        <f t="shared" si="7"/>
        <v>0</v>
      </c>
    </row>
    <row r="29" spans="1:17" ht="14.25" customHeight="1" x14ac:dyDescent="0.3">
      <c r="A29" s="607"/>
      <c r="B29" s="608"/>
      <c r="C29" s="609"/>
      <c r="D29" s="140" t="s">
        <v>214</v>
      </c>
      <c r="E29" s="137">
        <f>E30*100%/E38</f>
        <v>0</v>
      </c>
      <c r="F29" s="137"/>
      <c r="G29" s="137"/>
      <c r="H29" s="137"/>
      <c r="I29" s="137"/>
      <c r="J29" s="137"/>
      <c r="K29" s="138"/>
    </row>
    <row r="30" spans="1:17" ht="14.25" customHeight="1" x14ac:dyDescent="0.3">
      <c r="A30" s="602"/>
      <c r="B30" s="604"/>
      <c r="C30" s="606"/>
      <c r="D30" s="140" t="s">
        <v>215</v>
      </c>
      <c r="E30" s="141"/>
      <c r="F30" s="142">
        <f t="shared" ref="F30:K30" si="8">F29*$E$30</f>
        <v>0</v>
      </c>
      <c r="G30" s="142">
        <f t="shared" si="8"/>
        <v>0</v>
      </c>
      <c r="H30" s="142">
        <f t="shared" si="8"/>
        <v>0</v>
      </c>
      <c r="I30" s="142">
        <f t="shared" si="8"/>
        <v>0</v>
      </c>
      <c r="J30" s="142">
        <f t="shared" si="8"/>
        <v>0</v>
      </c>
      <c r="K30" s="143">
        <f t="shared" si="8"/>
        <v>0</v>
      </c>
    </row>
    <row r="31" spans="1:17" ht="14.25" customHeight="1" x14ac:dyDescent="0.3">
      <c r="A31" s="607"/>
      <c r="B31" s="613"/>
      <c r="C31" s="609"/>
      <c r="D31" s="140" t="s">
        <v>214</v>
      </c>
      <c r="E31" s="137">
        <f>E32*100%/E38</f>
        <v>0</v>
      </c>
      <c r="F31" s="137"/>
      <c r="G31" s="137"/>
      <c r="H31" s="137"/>
      <c r="I31" s="137"/>
      <c r="J31" s="137"/>
      <c r="K31" s="138"/>
    </row>
    <row r="32" spans="1:17" ht="14.25" customHeight="1" x14ac:dyDescent="0.3">
      <c r="A32" s="602"/>
      <c r="B32" s="612"/>
      <c r="C32" s="606"/>
      <c r="D32" s="140" t="s">
        <v>215</v>
      </c>
      <c r="E32" s="141"/>
      <c r="F32" s="142">
        <f t="shared" ref="F32:K32" si="9">F31*$E$32</f>
        <v>0</v>
      </c>
      <c r="G32" s="142">
        <f t="shared" si="9"/>
        <v>0</v>
      </c>
      <c r="H32" s="142">
        <f t="shared" si="9"/>
        <v>0</v>
      </c>
      <c r="I32" s="142">
        <f t="shared" si="9"/>
        <v>0</v>
      </c>
      <c r="J32" s="142">
        <f t="shared" si="9"/>
        <v>0</v>
      </c>
      <c r="K32" s="143">
        <f t="shared" si="9"/>
        <v>0</v>
      </c>
      <c r="Q32" s="139"/>
    </row>
    <row r="33" spans="1:11" ht="14.25" customHeight="1" x14ac:dyDescent="0.3">
      <c r="A33" s="607"/>
      <c r="B33" s="613"/>
      <c r="C33" s="609"/>
      <c r="D33" s="140" t="s">
        <v>214</v>
      </c>
      <c r="E33" s="137">
        <f>E34*100%/E38</f>
        <v>0</v>
      </c>
      <c r="F33" s="137"/>
      <c r="G33" s="137"/>
      <c r="H33" s="137"/>
      <c r="I33" s="137"/>
      <c r="J33" s="137"/>
      <c r="K33" s="138"/>
    </row>
    <row r="34" spans="1:11" ht="14.25" customHeight="1" x14ac:dyDescent="0.3">
      <c r="A34" s="602"/>
      <c r="B34" s="612"/>
      <c r="C34" s="606"/>
      <c r="D34" s="140" t="s">
        <v>215</v>
      </c>
      <c r="E34" s="141"/>
      <c r="F34" s="142">
        <f t="shared" ref="F34:K34" si="10">F33*$E$34</f>
        <v>0</v>
      </c>
      <c r="G34" s="142">
        <f t="shared" si="10"/>
        <v>0</v>
      </c>
      <c r="H34" s="142">
        <f t="shared" si="10"/>
        <v>0</v>
      </c>
      <c r="I34" s="142">
        <f t="shared" si="10"/>
        <v>0</v>
      </c>
      <c r="J34" s="142">
        <f t="shared" si="10"/>
        <v>0</v>
      </c>
      <c r="K34" s="143">
        <f t="shared" si="10"/>
        <v>0</v>
      </c>
    </row>
    <row r="35" spans="1:11" ht="14.25" customHeight="1" x14ac:dyDescent="0.3">
      <c r="A35" s="607"/>
      <c r="B35" s="613"/>
      <c r="C35" s="609"/>
      <c r="D35" s="140" t="s">
        <v>214</v>
      </c>
      <c r="E35" s="137">
        <f>E36*100%/E38</f>
        <v>0</v>
      </c>
      <c r="F35" s="137"/>
      <c r="G35" s="137"/>
      <c r="H35" s="137"/>
      <c r="I35" s="137"/>
      <c r="J35" s="137"/>
      <c r="K35" s="138"/>
    </row>
    <row r="36" spans="1:11" ht="14.25" customHeight="1" x14ac:dyDescent="0.3">
      <c r="A36" s="602"/>
      <c r="B36" s="612"/>
      <c r="C36" s="606"/>
      <c r="D36" s="140" t="s">
        <v>215</v>
      </c>
      <c r="E36" s="141"/>
      <c r="F36" s="142">
        <f t="shared" ref="F36:K36" si="11">F35*$E$36</f>
        <v>0</v>
      </c>
      <c r="G36" s="142">
        <f t="shared" si="11"/>
        <v>0</v>
      </c>
      <c r="H36" s="142">
        <f t="shared" si="11"/>
        <v>0</v>
      </c>
      <c r="I36" s="142">
        <f t="shared" si="11"/>
        <v>0</v>
      </c>
      <c r="J36" s="142">
        <f t="shared" si="11"/>
        <v>0</v>
      </c>
      <c r="K36" s="143">
        <f t="shared" si="11"/>
        <v>0</v>
      </c>
    </row>
    <row r="37" spans="1:11" ht="14.25" customHeight="1" x14ac:dyDescent="0.3">
      <c r="A37" s="616" t="s">
        <v>216</v>
      </c>
      <c r="B37" s="617"/>
      <c r="C37" s="618"/>
      <c r="D37" s="148" t="s">
        <v>214</v>
      </c>
      <c r="E37" s="149">
        <f>E13+E15+E17+E19+E21+E23+E25+E27+E29+E31+E33+E35</f>
        <v>0.99999999999999989</v>
      </c>
      <c r="F37" s="149">
        <f t="shared" ref="F37:K37" si="12">F38*100%/$E$38</f>
        <v>0.45631802671332095</v>
      </c>
      <c r="G37" s="149">
        <f t="shared" si="12"/>
        <v>0.3475358190564688</v>
      </c>
      <c r="H37" s="149">
        <f t="shared" si="12"/>
        <v>0.19614615423021028</v>
      </c>
      <c r="I37" s="149">
        <f t="shared" si="12"/>
        <v>0</v>
      </c>
      <c r="J37" s="149">
        <f t="shared" si="12"/>
        <v>0</v>
      </c>
      <c r="K37" s="150">
        <f t="shared" si="12"/>
        <v>0</v>
      </c>
    </row>
    <row r="38" spans="1:11" ht="13.5" customHeight="1" thickBot="1" x14ac:dyDescent="0.35">
      <c r="A38" s="619"/>
      <c r="B38" s="620"/>
      <c r="C38" s="621"/>
      <c r="D38" s="151" t="s">
        <v>215</v>
      </c>
      <c r="E38" s="152">
        <f>E14+E16+E18+E20+E22+E24+E26+E28+E30+E32+E34+E36</f>
        <v>521800.66899704101</v>
      </c>
      <c r="F38" s="152">
        <f t="shared" ref="F38:K38" si="13">F14+F16+F18+F20+F22+F24+F26+F28+F30+F32+F34+F36</f>
        <v>238107.05161442049</v>
      </c>
      <c r="G38" s="152">
        <f t="shared" si="13"/>
        <v>181344.4228841</v>
      </c>
      <c r="H38" s="152">
        <f t="shared" si="13"/>
        <v>102349.1944985205</v>
      </c>
      <c r="I38" s="152">
        <f t="shared" si="13"/>
        <v>0</v>
      </c>
      <c r="J38" s="152">
        <f t="shared" si="13"/>
        <v>0</v>
      </c>
      <c r="K38" s="153">
        <f t="shared" si="13"/>
        <v>0</v>
      </c>
    </row>
    <row r="39" spans="1:11" ht="1.5" customHeight="1" thickBot="1" x14ac:dyDescent="0.35">
      <c r="A39" s="154"/>
      <c r="B39" s="155"/>
      <c r="C39" s="155"/>
      <c r="D39" s="156"/>
      <c r="E39" s="156"/>
      <c r="F39" s="155"/>
      <c r="G39" s="155"/>
      <c r="H39" s="155"/>
      <c r="I39" s="155"/>
      <c r="J39" s="155"/>
      <c r="K39" s="157"/>
    </row>
    <row r="40" spans="1:11" ht="14.25" customHeight="1" x14ac:dyDescent="0.3">
      <c r="A40" s="158"/>
      <c r="B40" s="159"/>
      <c r="C40" s="159"/>
      <c r="D40" s="159"/>
      <c r="E40" s="159"/>
      <c r="F40" s="159"/>
      <c r="G40" s="160"/>
      <c r="H40" s="161"/>
      <c r="I40" s="162"/>
      <c r="J40" s="162"/>
      <c r="K40" s="163"/>
    </row>
    <row r="41" spans="1:11" ht="14.25" customHeight="1" x14ac:dyDescent="0.3">
      <c r="A41" s="164"/>
      <c r="B41" s="176"/>
      <c r="C41" s="176"/>
      <c r="D41" s="176"/>
      <c r="E41" s="176"/>
      <c r="F41" s="176"/>
      <c r="G41" s="177"/>
      <c r="H41" s="168"/>
      <c r="I41" s="178"/>
      <c r="J41" s="178"/>
      <c r="K41" s="131"/>
    </row>
    <row r="42" spans="1:11" ht="14.25" customHeight="1" x14ac:dyDescent="0.3">
      <c r="A42" s="164"/>
      <c r="B42" s="176"/>
      <c r="C42" s="176"/>
      <c r="D42" s="176"/>
      <c r="E42" s="176"/>
      <c r="F42" s="176"/>
      <c r="G42" s="177"/>
      <c r="H42" s="168"/>
      <c r="I42" s="178"/>
      <c r="J42" s="178"/>
      <c r="K42" s="131"/>
    </row>
    <row r="43" spans="1:11" ht="14.25" customHeight="1" x14ac:dyDescent="0.3">
      <c r="A43" s="164"/>
      <c r="B43" s="176"/>
      <c r="C43" s="176"/>
      <c r="D43" s="176"/>
      <c r="E43" s="176"/>
      <c r="F43" s="176"/>
      <c r="G43" s="177"/>
      <c r="H43" s="168"/>
      <c r="I43" s="178"/>
      <c r="J43" s="178"/>
      <c r="K43" s="131"/>
    </row>
    <row r="44" spans="1:11" ht="14.25" customHeight="1" x14ac:dyDescent="0.3">
      <c r="A44" s="164"/>
      <c r="B44" s="615" t="str">
        <f>'PLANILHA ORÇAMENTÁRIA'!B104</f>
        <v>XXXXXXXXXXXXXXX</v>
      </c>
      <c r="C44" s="615"/>
      <c r="D44" s="622" t="str">
        <f>'PLANILHA ORÇAMENTÁRIA'!D104</f>
        <v>XXXXXXXXXXXXXX</v>
      </c>
      <c r="E44" s="622"/>
      <c r="F44" s="622"/>
      <c r="G44" s="623"/>
      <c r="H44" s="165" t="s">
        <v>218</v>
      </c>
      <c r="K44" s="131"/>
    </row>
    <row r="45" spans="1:11" ht="14.25" customHeight="1" x14ac:dyDescent="0.3">
      <c r="A45" s="166"/>
      <c r="B45" s="615" t="str">
        <f>'PLANILHA ORÇAMENTÁRIA'!B105</f>
        <v>ENGENHEIRO CIVIL - CREAMG NºXXXXXXXXXXXXXXX</v>
      </c>
      <c r="C45" s="615"/>
      <c r="D45" s="624" t="str">
        <f>'PLANILHA ORÇAMENTÁRIA'!D105</f>
        <v>REPRESENTANTE LEGAL LICITANTE</v>
      </c>
      <c r="E45" s="624"/>
      <c r="F45" s="624"/>
      <c r="G45" s="625"/>
      <c r="H45" s="168"/>
      <c r="K45" s="131"/>
    </row>
    <row r="46" spans="1:11" ht="15" customHeight="1" x14ac:dyDescent="0.3">
      <c r="A46" s="130"/>
      <c r="B46" s="615" t="str">
        <f>'PLANILHA ORÇAMENTÁRIA'!B106</f>
        <v>R. T. LICITANTE</v>
      </c>
      <c r="C46" s="615"/>
      <c r="G46" s="167"/>
      <c r="H46" s="168"/>
      <c r="K46" s="131"/>
    </row>
    <row r="47" spans="1:11" ht="14.25" customHeight="1" thickBot="1" x14ac:dyDescent="0.35">
      <c r="A47" s="169"/>
      <c r="B47" s="614"/>
      <c r="C47" s="614"/>
      <c r="D47" s="170"/>
      <c r="E47" s="170"/>
      <c r="F47" s="171"/>
      <c r="G47" s="172"/>
      <c r="H47" s="173"/>
      <c r="I47" s="171"/>
      <c r="J47" s="171"/>
      <c r="K47" s="174"/>
    </row>
    <row r="48" spans="1:11" ht="14.1" customHeight="1" x14ac:dyDescent="0.3"/>
    <row r="49" ht="14.1" customHeight="1" x14ac:dyDescent="0.3"/>
    <row r="50" ht="17.25" customHeight="1" x14ac:dyDescent="0.3"/>
  </sheetData>
  <mergeCells count="54">
    <mergeCell ref="B47:C47"/>
    <mergeCell ref="B46:C46"/>
    <mergeCell ref="A37:C38"/>
    <mergeCell ref="B44:C44"/>
    <mergeCell ref="D44:G44"/>
    <mergeCell ref="B45:C45"/>
    <mergeCell ref="D45:G45"/>
    <mergeCell ref="A33:A34"/>
    <mergeCell ref="B33:B34"/>
    <mergeCell ref="C33:C34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A9:K9"/>
    <mergeCell ref="A10:C10"/>
    <mergeCell ref="I10:K10"/>
    <mergeCell ref="A11:C11"/>
    <mergeCell ref="D11:H11"/>
    <mergeCell ref="I11:K11"/>
    <mergeCell ref="C2:K2"/>
    <mergeCell ref="C3:K3"/>
    <mergeCell ref="C4:K4"/>
    <mergeCell ref="C5:K5"/>
    <mergeCell ref="C6:K6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14</vt:i4>
      </vt:variant>
    </vt:vector>
  </HeadingPairs>
  <TitlesOfParts>
    <vt:vector size="22" baseType="lpstr">
      <vt:lpstr>PLANILHA ORÇAMENTÁRIA</vt:lpstr>
      <vt:lpstr>COTAÇÕES DE PREÇOS</vt:lpstr>
      <vt:lpstr>COMPOSIÇÕES DE CUSTOS</vt:lpstr>
      <vt:lpstr>CÁLCULO DE RESERVATÓRIOS</vt:lpstr>
      <vt:lpstr>DIMENSIONAMENTO DE MOTOBOMBAS</vt:lpstr>
      <vt:lpstr>PLANILHA DE LEVANTAMENTO</vt:lpstr>
      <vt:lpstr>DEMONSTRATIVO BDI</vt:lpstr>
      <vt:lpstr>CRONOGRAMA FÍSICO-FINANCEIRO</vt:lpstr>
      <vt:lpstr>'CÁLCULO DE RESERVATÓRIOS'!Area_de_impressao</vt:lpstr>
      <vt:lpstr>'COMPOSIÇÕES DE CUSTOS'!Area_de_impressao</vt:lpstr>
      <vt:lpstr>'COTAÇÕES DE PREÇOS'!Area_de_impressao</vt:lpstr>
      <vt:lpstr>'CRONOGRAMA FÍSICO-FINANCEIRO'!Area_de_impressao</vt:lpstr>
      <vt:lpstr>'DEMONSTRATIVO BDI'!Area_de_impressao</vt:lpstr>
      <vt:lpstr>'DIMENSIONAMENTO DE MOTOBOMBAS'!Area_de_impressao</vt:lpstr>
      <vt:lpstr>'PLANILHA DE LEVANTAMENTO'!Area_de_impressao</vt:lpstr>
      <vt:lpstr>'PLANILHA ORÇAMENTÁRIA'!Area_de_impressao</vt:lpstr>
      <vt:lpstr>'CÁLCULO DE RESERVATÓRIOS'!Titulos_de_impressao</vt:lpstr>
      <vt:lpstr>'COMPOSIÇÕES DE CUSTOS'!Titulos_de_impressao</vt:lpstr>
      <vt:lpstr>'COTAÇÕES DE PREÇOS'!Titulos_de_impressao</vt:lpstr>
      <vt:lpstr>'DIMENSIONAMENTO DE MOTOBOMBAS'!Titulos_de_impressao</vt:lpstr>
      <vt:lpstr>'PLANILHA DE LEVANTAMENTO'!Titulos_de_impressao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Usuario</cp:lastModifiedBy>
  <cp:lastPrinted>2024-09-12T14:58:42Z</cp:lastPrinted>
  <dcterms:created xsi:type="dcterms:W3CDTF">2010-05-24T20:46:00Z</dcterms:created>
  <dcterms:modified xsi:type="dcterms:W3CDTF">2024-09-12T15:18:22Z</dcterms:modified>
</cp:coreProperties>
</file>