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LIFFORD\Desktop\PAVIMENTAÇÃO CACHOEIRINHA_RE\LICITAÇÃO - PAVIMENTAÇÃO_COMUNIDADE CACHOEIRINHA\"/>
    </mc:Choice>
  </mc:AlternateContent>
  <xr:revisionPtr revIDLastSave="0" documentId="13_ncr:1_{66022513-3A1C-4FE2-B39C-9615A3D55FDB}" xr6:coauthVersionLast="36" xr6:coauthVersionMax="47" xr10:uidLastSave="{00000000-0000-0000-0000-000000000000}"/>
  <bookViews>
    <workbookView xWindow="0" yWindow="0" windowWidth="23040" windowHeight="9060" activeTab="1" xr2:uid="{83AB76C8-38C7-4147-9113-E16F16EB8218}"/>
  </bookViews>
  <sheets>
    <sheet name="Composição" sheetId="2" r:id="rId1"/>
    <sheet name="Planilha Orçamentária" sheetId="1" r:id="rId2"/>
    <sheet name="Memória de Cálculo" sheetId="3" r:id="rId3"/>
    <sheet name="Demonstrativo BDI" sheetId="4" r:id="rId4"/>
    <sheet name="Cronograma Fisico_Financeiro" sheetId="5" r:id="rId5"/>
  </sheets>
  <externalReferences>
    <externalReference r:id="rId6"/>
    <externalReference r:id="rId7"/>
  </externalReferences>
  <definedNames>
    <definedName name="_xlnm.Print_Area" localSheetId="0">Composição!$A$1:$I$20</definedName>
    <definedName name="_xlnm.Print_Area" localSheetId="4">'Cronograma Fisico_Financeiro'!$A$1:$P$53</definedName>
    <definedName name="_xlnm.Print_Area" localSheetId="3">'Demonstrativo BDI'!$A$2:$H$62</definedName>
    <definedName name="_xlnm.Print_Area" localSheetId="2">'Memória de Cálculo'!$A$1:$H$49</definedName>
    <definedName name="_xlnm.Print_Area" localSheetId="1">'Planilha Orçamentária'!$A$1:$I$52</definedName>
    <definedName name="ORÇAMENTO.BancoRef" hidden="1">'Planilha Orçamentária'!$F$8</definedName>
    <definedName name="REFERENCIA.Descricao" hidden="1">IF(ISNUMBER('Planilha Orçamentária'!$AF1),OFFSET(INDIRECT(ORÇAMENTO.BancoRef),'Planilha Orçamentária'!$AF1-1,3,1),'Planilha Orçamentária'!$AF1)</definedName>
    <definedName name="REFERENCIA.Unidade" hidden="1">IF(ISNUMBER('Planilha Orçamentária'!$AF1),OFFSET(INDIRECT(ORÇAMENTO.BancoRef),'Planilha Orçamentária'!$AF1-1,4,1),"-")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F11" i="4"/>
  <c r="B39" i="5"/>
  <c r="E38" i="3"/>
  <c r="J38" i="3"/>
  <c r="G10" i="2"/>
  <c r="I10" i="2" s="1"/>
  <c r="I9" i="2" s="1"/>
  <c r="G38" i="1" s="1"/>
  <c r="F9" i="2"/>
  <c r="E9" i="2"/>
  <c r="G7" i="2"/>
  <c r="C14" i="2"/>
  <c r="G14" i="2"/>
  <c r="C15" i="2"/>
  <c r="H36" i="3"/>
  <c r="I22" i="1"/>
  <c r="I7" i="2" l="1"/>
  <c r="F7" i="2" s="1"/>
  <c r="E7" i="2"/>
  <c r="K22" i="1" l="1"/>
  <c r="K21" i="1"/>
  <c r="R19" i="5"/>
  <c r="R21" i="5"/>
  <c r="R23" i="5"/>
  <c r="R25" i="5"/>
  <c r="R27" i="5"/>
  <c r="R29" i="5"/>
  <c r="R31" i="5"/>
  <c r="R33" i="5"/>
  <c r="R35" i="5"/>
  <c r="R36" i="5"/>
  <c r="R37" i="5"/>
  <c r="B37" i="5"/>
  <c r="G6" i="2"/>
  <c r="I6" i="2" s="1"/>
  <c r="K6" i="2"/>
  <c r="K5" i="2"/>
  <c r="G5" i="2" s="1"/>
  <c r="N18" i="2"/>
  <c r="N17" i="2"/>
  <c r="L19" i="2"/>
  <c r="L17" i="2"/>
  <c r="E27" i="3"/>
  <c r="F27" i="1" s="1"/>
  <c r="E33" i="3"/>
  <c r="F33" i="1" s="1"/>
  <c r="M34" i="3"/>
  <c r="K29" i="3"/>
  <c r="M29" i="3"/>
  <c r="K28" i="3"/>
  <c r="M28" i="3"/>
  <c r="J29" i="3"/>
  <c r="E29" i="3" s="1"/>
  <c r="J28" i="3"/>
  <c r="E28" i="3" s="1"/>
  <c r="K34" i="1"/>
  <c r="L34" i="1" s="1"/>
  <c r="K34" i="3"/>
  <c r="J34" i="3"/>
  <c r="E34" i="3" s="1"/>
  <c r="H31" i="3"/>
  <c r="F10" i="4"/>
  <c r="F10" i="3"/>
  <c r="A14" i="4"/>
  <c r="A12" i="4"/>
  <c r="A11" i="4"/>
  <c r="A10" i="4"/>
  <c r="C20" i="2"/>
  <c r="C19" i="2"/>
  <c r="E42" i="3"/>
  <c r="C48" i="3"/>
  <c r="C49" i="3"/>
  <c r="C43" i="3"/>
  <c r="C42" i="3"/>
  <c r="B17" i="5"/>
  <c r="B15" i="5"/>
  <c r="B53" i="5"/>
  <c r="B47" i="5"/>
  <c r="B52" i="5"/>
  <c r="B46" i="5"/>
  <c r="H13" i="5"/>
  <c r="H12" i="5"/>
  <c r="C13" i="5"/>
  <c r="A13" i="5"/>
  <c r="A12" i="5"/>
  <c r="P34" i="5"/>
  <c r="L34" i="5"/>
  <c r="P32" i="5"/>
  <c r="K32" i="5"/>
  <c r="P30" i="5"/>
  <c r="O30" i="5"/>
  <c r="N30" i="5"/>
  <c r="M30" i="5"/>
  <c r="L30" i="5"/>
  <c r="K30" i="5"/>
  <c r="J30" i="5"/>
  <c r="I30" i="5"/>
  <c r="H30" i="5"/>
  <c r="G30" i="5"/>
  <c r="F30" i="5"/>
  <c r="E30" i="5"/>
  <c r="P28" i="5"/>
  <c r="O28" i="5"/>
  <c r="N28" i="5"/>
  <c r="M28" i="5"/>
  <c r="L28" i="5"/>
  <c r="K28" i="5"/>
  <c r="J28" i="5"/>
  <c r="I28" i="5"/>
  <c r="H28" i="5"/>
  <c r="G28" i="5"/>
  <c r="F28" i="5"/>
  <c r="E28" i="5"/>
  <c r="P26" i="5"/>
  <c r="O26" i="5"/>
  <c r="N26" i="5"/>
  <c r="M26" i="5"/>
  <c r="L26" i="5"/>
  <c r="K26" i="5"/>
  <c r="J26" i="5"/>
  <c r="I26" i="5"/>
  <c r="H26" i="5"/>
  <c r="G26" i="5"/>
  <c r="F26" i="5"/>
  <c r="E26" i="5"/>
  <c r="P24" i="5"/>
  <c r="O24" i="5"/>
  <c r="N24" i="5"/>
  <c r="M24" i="5"/>
  <c r="L24" i="5"/>
  <c r="K24" i="5"/>
  <c r="J24" i="5"/>
  <c r="I24" i="5"/>
  <c r="H24" i="5"/>
  <c r="G24" i="5"/>
  <c r="F24" i="5"/>
  <c r="E24" i="5"/>
  <c r="P22" i="5"/>
  <c r="O22" i="5"/>
  <c r="N22" i="5"/>
  <c r="M22" i="5"/>
  <c r="L22" i="5"/>
  <c r="K22" i="5"/>
  <c r="J22" i="5"/>
  <c r="I22" i="5"/>
  <c r="H22" i="5"/>
  <c r="G22" i="5"/>
  <c r="F22" i="5"/>
  <c r="E22" i="5"/>
  <c r="P20" i="5"/>
  <c r="O20" i="5"/>
  <c r="N20" i="5"/>
  <c r="M20" i="5"/>
  <c r="L20" i="5"/>
  <c r="K20" i="5"/>
  <c r="J20" i="5"/>
  <c r="I20" i="5"/>
  <c r="H20" i="5"/>
  <c r="G20" i="5"/>
  <c r="F20" i="5"/>
  <c r="E20" i="5"/>
  <c r="R17" i="5"/>
  <c r="R15" i="5"/>
  <c r="C45" i="4"/>
  <c r="D43" i="4"/>
  <c r="D46" i="4" s="1"/>
  <c r="C43" i="4"/>
  <c r="D34" i="4"/>
  <c r="D45" i="4" s="1"/>
  <c r="A13" i="4"/>
  <c r="F12" i="3"/>
  <c r="A15" i="3"/>
  <c r="A13" i="3"/>
  <c r="A12" i="3"/>
  <c r="A11" i="3"/>
  <c r="H24" i="3"/>
  <c r="H15" i="3"/>
  <c r="K17" i="1"/>
  <c r="K18" i="1" s="1"/>
  <c r="F4" i="2"/>
  <c r="E4" i="2"/>
  <c r="R22" i="5" l="1"/>
  <c r="R26" i="5"/>
  <c r="R30" i="5"/>
  <c r="R20" i="5"/>
  <c r="R24" i="5"/>
  <c r="R28" i="5"/>
  <c r="E5" i="2"/>
  <c r="I5" i="2"/>
  <c r="P18" i="2"/>
  <c r="F34" i="1"/>
  <c r="F29" i="1"/>
  <c r="F28" i="1"/>
  <c r="C46" i="4"/>
  <c r="H14" i="4" s="1"/>
  <c r="I15" i="1" s="1"/>
  <c r="H38" i="1" s="1"/>
  <c r="I38" i="1" s="1"/>
  <c r="I36" i="1" s="1"/>
  <c r="D40" i="5" s="1"/>
  <c r="H19" i="3"/>
  <c r="F5" i="2" l="1"/>
  <c r="I4" i="2"/>
  <c r="G34" i="1"/>
  <c r="H34" i="1" s="1"/>
  <c r="I34" i="1" s="1"/>
  <c r="H28" i="1"/>
  <c r="I28" i="1" s="1"/>
  <c r="H29" i="1"/>
  <c r="I29" i="1" s="1"/>
  <c r="H21" i="1"/>
  <c r="I21" i="1" s="1"/>
  <c r="I19" i="1" s="1"/>
  <c r="H27" i="1"/>
  <c r="I27" i="1" s="1"/>
  <c r="H33" i="1"/>
  <c r="I33" i="1" s="1"/>
  <c r="I24" i="1" l="1"/>
  <c r="D18" i="5" s="1"/>
  <c r="D16" i="5"/>
  <c r="F16" i="5" s="1"/>
  <c r="I31" i="1"/>
  <c r="M40" i="5" l="1"/>
  <c r="I40" i="5"/>
  <c r="N40" i="5"/>
  <c r="J40" i="5"/>
  <c r="L40" i="5"/>
  <c r="H40" i="5"/>
  <c r="O40" i="5"/>
  <c r="K40" i="5"/>
  <c r="G40" i="5"/>
  <c r="D38" i="5"/>
  <c r="D42" i="5" s="1"/>
  <c r="D39" i="5" s="1"/>
  <c r="I40" i="1"/>
  <c r="E16" i="5"/>
  <c r="I32" i="5"/>
  <c r="D37" i="5"/>
  <c r="M38" i="5"/>
  <c r="I38" i="5"/>
  <c r="P38" i="5"/>
  <c r="L38" i="5"/>
  <c r="H38" i="5"/>
  <c r="O38" i="5"/>
  <c r="K38" i="5"/>
  <c r="G38" i="5"/>
  <c r="N38" i="5"/>
  <c r="J38" i="5"/>
  <c r="N32" i="5"/>
  <c r="O16" i="5"/>
  <c r="N16" i="5"/>
  <c r="J32" i="5"/>
  <c r="J16" i="5"/>
  <c r="L16" i="5"/>
  <c r="L32" i="5"/>
  <c r="G32" i="5"/>
  <c r="M32" i="5"/>
  <c r="P16" i="5"/>
  <c r="I16" i="5"/>
  <c r="H32" i="5"/>
  <c r="H16" i="5"/>
  <c r="M16" i="5"/>
  <c r="K16" i="5"/>
  <c r="O32" i="5"/>
  <c r="G16" i="5"/>
  <c r="F32" i="5"/>
  <c r="E32" i="5"/>
  <c r="O34" i="5"/>
  <c r="K34" i="5"/>
  <c r="N34" i="5"/>
  <c r="O18" i="5"/>
  <c r="M34" i="5"/>
  <c r="P18" i="5"/>
  <c r="K18" i="5"/>
  <c r="H34" i="5"/>
  <c r="F18" i="5"/>
  <c r="E34" i="5"/>
  <c r="M18" i="5"/>
  <c r="J34" i="5"/>
  <c r="I18" i="5"/>
  <c r="G34" i="5"/>
  <c r="E18" i="5"/>
  <c r="H18" i="5"/>
  <c r="G18" i="5"/>
  <c r="F34" i="5"/>
  <c r="N18" i="5"/>
  <c r="J18" i="5"/>
  <c r="I34" i="5"/>
  <c r="L18" i="5"/>
  <c r="E38" i="5" l="1"/>
  <c r="F38" i="5"/>
  <c r="K38" i="1"/>
  <c r="E12" i="5"/>
  <c r="G42" i="5"/>
  <c r="G41" i="5" s="1"/>
  <c r="N42" i="5"/>
  <c r="K40" i="1"/>
  <c r="H42" i="5"/>
  <c r="J42" i="5"/>
  <c r="J41" i="5" s="1"/>
  <c r="R38" i="5"/>
  <c r="R34" i="5"/>
  <c r="R32" i="5"/>
  <c r="O42" i="5"/>
  <c r="O41" i="5" s="1"/>
  <c r="M42" i="5"/>
  <c r="M41" i="5" s="1"/>
  <c r="R16" i="5"/>
  <c r="K42" i="5"/>
  <c r="K41" i="5" s="1"/>
  <c r="L42" i="5"/>
  <c r="L41" i="5" s="1"/>
  <c r="P42" i="5"/>
  <c r="P41" i="5" s="1"/>
  <c r="I42" i="5"/>
  <c r="I41" i="5" s="1"/>
  <c r="D31" i="5"/>
  <c r="D29" i="5"/>
  <c r="D27" i="5"/>
  <c r="D23" i="5"/>
  <c r="D21" i="5"/>
  <c r="D19" i="5"/>
  <c r="D33" i="5"/>
  <c r="D15" i="5"/>
  <c r="D25" i="5"/>
  <c r="N41" i="5"/>
  <c r="R18" i="5"/>
  <c r="D17" i="5"/>
  <c r="H41" i="5"/>
  <c r="D41" i="5" l="1"/>
  <c r="E40" i="5"/>
  <c r="E42" i="5" s="1"/>
  <c r="E41" i="5" s="1"/>
  <c r="R39" i="5"/>
  <c r="F40" i="5"/>
  <c r="F42" i="5" s="1"/>
  <c r="R42" i="5" l="1"/>
  <c r="F41" i="5"/>
  <c r="R41" i="5" s="1"/>
  <c r="R40" i="5"/>
  <c r="R44" i="5" s="1"/>
</calcChain>
</file>

<file path=xl/sharedStrings.xml><?xml version="1.0" encoding="utf-8"?>
<sst xmlns="http://schemas.openxmlformats.org/spreadsheetml/2006/main" count="287" uniqueCount="157">
  <si>
    <t>CONTRATANTE: MUNICÍPIO DE IBERTIOGA-MG</t>
  </si>
  <si>
    <t>ART Nº</t>
  </si>
  <si>
    <t xml:space="preserve">FORMA DE EXECUÇÃO: </t>
  </si>
  <si>
    <t>(    )</t>
  </si>
  <si>
    <t>DIRETA</t>
  </si>
  <si>
    <t>( X )</t>
  </si>
  <si>
    <t>INDIRETA</t>
  </si>
  <si>
    <t>BDI</t>
  </si>
  <si>
    <t>ITEM</t>
  </si>
  <si>
    <t>REFERÊNCIA</t>
  </si>
  <si>
    <t>CÓDIGO</t>
  </si>
  <si>
    <t>DESCRIÇÃO</t>
  </si>
  <si>
    <t>UNID.</t>
  </si>
  <si>
    <t>QUANTIDADE</t>
  </si>
  <si>
    <t>PREÇO UNITÁRIO S/BDI</t>
  </si>
  <si>
    <t>PREÇO UNITÁRIO C/BDI</t>
  </si>
  <si>
    <t>PREÇO TOTAL</t>
  </si>
  <si>
    <t xml:space="preserve">SERVIÇOS PRELIMINARES </t>
  </si>
  <si>
    <t>1.1</t>
  </si>
  <si>
    <t>SETOP</t>
  </si>
  <si>
    <t>M2</t>
  </si>
  <si>
    <t>2.1</t>
  </si>
  <si>
    <t>SINAPI</t>
  </si>
  <si>
    <t>2.2</t>
  </si>
  <si>
    <t>2.3</t>
  </si>
  <si>
    <t>2.4</t>
  </si>
  <si>
    <t>M</t>
  </si>
  <si>
    <t>M3</t>
  </si>
  <si>
    <t>UN</t>
  </si>
  <si>
    <t>88316</t>
  </si>
  <si>
    <t>SERVENTE COM ENCARGOS COMPLEMENTARES</t>
  </si>
  <si>
    <t>H</t>
  </si>
  <si>
    <t>FONTE</t>
  </si>
  <si>
    <t>UNIDADE</t>
  </si>
  <si>
    <t>COEFIC.</t>
  </si>
  <si>
    <t>COMPOSIÇÃO</t>
  </si>
  <si>
    <t>MEMÓRIA</t>
  </si>
  <si>
    <t>CUSTO TOTAL</t>
  </si>
  <si>
    <t>CUSTO UNITARIO DESONERADO</t>
  </si>
  <si>
    <t xml:space="preserve">TOTAL GERAL </t>
  </si>
  <si>
    <r>
      <t xml:space="preserve">REFERÊNCIA: </t>
    </r>
    <r>
      <rPr>
        <b/>
        <sz val="10"/>
        <rFont val="Calibri"/>
        <family val="2"/>
      </rPr>
      <t>SEINFRA-MG  01/2023 e SINAPI 05/2023 AMBAS COM DESENOREÇÃO</t>
    </r>
  </si>
  <si>
    <t>PRAZO DE EXECUÇÃO: 02 (DOIS) MESES</t>
  </si>
  <si>
    <t>MAESTRO, COUTINHO, E OUTRAS</t>
  </si>
  <si>
    <t/>
  </si>
  <si>
    <t>ANEXO II - DEMONSTRATIVO DO BDI - COM DESONERAÇÃO</t>
  </si>
  <si>
    <t>BDI (CONFORME ACÓRDÃO Nº 2622/13 e LEI Nº 13.161 DE 31/08/15)</t>
  </si>
  <si>
    <t>OBRA RODOVIÁRIA</t>
  </si>
  <si>
    <t>(ISS = 3%)</t>
  </si>
  <si>
    <t>MATERIAL</t>
  </si>
  <si>
    <t>INCIDÊNCIA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</si>
  <si>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</si>
  <si>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</si>
  <si>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</si>
  <si>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</si>
  <si>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</si>
  <si>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</si>
  <si>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</si>
  <si>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</si>
  <si>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</si>
  <si>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</si>
  <si>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</si>
  <si>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</si>
  <si>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</si>
  <si>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</si>
  <si>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</si>
  <si>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</si>
  <si>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</si>
  <si>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t>PIS</t>
  </si>
  <si>
    <t>COFINS</t>
  </si>
  <si>
    <t>CPRB</t>
  </si>
  <si>
    <t>INSS</t>
  </si>
  <si>
    <t>FÓRMULA DO BDI</t>
  </si>
  <si>
    <t>BDI      =</t>
  </si>
  <si>
    <t>(1 + (AC + S + G + R)) x (1 + DF) x  (1 + L)</t>
  </si>
  <si>
    <t>(1 - (I + CPRB))</t>
  </si>
  <si>
    <t>BDI(NUMERADOR)</t>
  </si>
  <si>
    <t>BDI(DENOMINADOR)</t>
  </si>
  <si>
    <t>VALOR DO INVESTIMENTO</t>
  </si>
  <si>
    <t>FÍSICO/FINANCEIRO</t>
  </si>
  <si>
    <t>TOTAL ETAPAS</t>
  </si>
  <si>
    <t>1º MÊS</t>
  </si>
  <si>
    <t>2ºMES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</si>
  <si>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</si>
  <si>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</si>
  <si>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</si>
  <si>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</si>
  <si>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</si>
  <si>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</si>
  <si>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</si>
  <si>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</si>
  <si>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</si>
  <si>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12° MÊS</t>
  </si>
  <si>
    <t>Físico %</t>
  </si>
  <si>
    <t>Financeiro</t>
  </si>
  <si>
    <t>TOTAL</t>
  </si>
  <si>
    <t>_________________________________________________</t>
  </si>
  <si>
    <t xml:space="preserve"> </t>
  </si>
  <si>
    <t>Observações:</t>
  </si>
  <si>
    <t>ANEXO IV CRONOGRAMA FÍSICO -FINANCEIRO</t>
  </si>
  <si>
    <t>LOCAL: COMUNIDADE DE CACHOEIRINHA, IBERTIOGA - MG</t>
  </si>
  <si>
    <t xml:space="preserve">OBJETO: PAVIMENTAÇÃO DE RUA EM BLOCOS INTERTRAVADOS </t>
  </si>
  <si>
    <t>FONTE DE RECURSOS: ESTADUAL</t>
  </si>
  <si>
    <t>PAVIMENTAÇÃO</t>
  </si>
  <si>
    <t>REGULARIZAÇÃO E COMPACTAÇÃO DE SUBLEITO DE SOLO PREDOMINANTEMENTE ARGILOSO. AF_11/20</t>
  </si>
  <si>
    <t>=A CARGO DA PREFEITURA</t>
  </si>
  <si>
    <t>EXECUÇÃO DE PAVIMENTO EM PISO INTERTRAVADO, COM BLOCO SEXTAVADO DE 25X 25 CM, ESPESSURA 8 CM. AF_10/2022</t>
  </si>
  <si>
    <t>DRENAGEM SUPERFICIAL</t>
  </si>
  <si>
    <t>3.1</t>
  </si>
  <si>
    <t>FORNECIMENTO ASSENTAMENTO DE GUIA (MEIO-FIO) EM TRECHO RETO, CONFECCIONADA EM CONCRETO PRÉ-FABRICADO, DIMENSÕES 100X15X13X20 CM (COMPRIMENTO X BASE INFERIOR X BASE SUPERIOR X ALTURA), PARA URBANIZAÇÃO INTERNA DE EMPREENDIMENTOS. AF_06/2016</t>
  </si>
  <si>
    <t>TRANSPORTE COM CAMINHÃO BASCULANTE DE 18 M³, EM VIA URBANA PAVIMENTADA , DMT ATÉ 30 KM (UNIDADE: M3XKM). AF_07/2020</t>
  </si>
  <si>
    <t>M3 X KM</t>
  </si>
  <si>
    <t>TRANSPORTE COM CAMINHÃO BASCULANTE DE 18 M³, EM VIA URBANA PAVIMENTADA , ADICIONAL PARA DMT EXCEDENTE A 30 KM (UNIDADE: M3XKM). AF_07/2020</t>
  </si>
  <si>
    <t>3.2</t>
  </si>
  <si>
    <t>A CARGO DA PREFEITURA</t>
  </si>
  <si>
    <t>=ITEM 3.1 - (9,42+1,45+3,0)</t>
  </si>
  <si>
    <t>=PÓ DE PEDRA = ITEM 2.2 * 0,07 * (73,9-30)</t>
  </si>
  <si>
    <t>94964</t>
  </si>
  <si>
    <t>PEDREIRO COM ENCARGOS COMPLEMENTARES</t>
  </si>
  <si>
    <t>88309</t>
  </si>
  <si>
    <t>CONCRETO FCK = 20MPA, TRAÇO 1:2,7:3 (EM MASSA SECA DE CIMENTO/ AREIA MÉDIA/ BRITA 1) - PREPARO MECÂNICO COM BETONEIRA 400 L. AF_05/2021</t>
  </si>
  <si>
    <t>COMPOSIÇÃO 01</t>
  </si>
  <si>
    <t>COMP 01</t>
  </si>
  <si>
    <t>CALAFETAÇÃO ENTRE GUIA MEIO-FIO E BLOCO INTERTRAVADO, COM E = 8CM, Lmédia= 3,0cm</t>
  </si>
  <si>
    <t>=PÓ DE PEDRA (COLCHÃO + REJUNTAMENTO) = ITEM 2.2 * (0,05+0,02) * 30</t>
  </si>
  <si>
    <t>TRONQUEIRA</t>
  </si>
  <si>
    <t>= 224,86</t>
  </si>
  <si>
    <t>= LEVANTAMENTO SOFTWARE = 468,92</t>
  </si>
  <si>
    <t>h*vc/vcsarj</t>
  </si>
  <si>
    <t>MOBILIZAÇÃO E DESMOBILIZAÇÃO DE OBRA EM CENTRO URBANO
 OU REGIÃO LIMÍTROFE COM VALOR ATÉ O VALOR DE 1.000.000,00</t>
  </si>
  <si>
    <t>ED-50392</t>
  </si>
  <si>
    <t>%</t>
  </si>
  <si>
    <t>1.2</t>
  </si>
  <si>
    <t>-</t>
  </si>
  <si>
    <t>PLANILHA DA SEINFRA-MG</t>
  </si>
  <si>
    <t>ADMINISTRAÇÃO LOCAL</t>
  </si>
  <si>
    <t>ED-21776</t>
  </si>
  <si>
    <t>ENCARREGADO GERAL DE OBRAS COM ENCARGOS
COMPLEMENTARES</t>
  </si>
  <si>
    <t>mês</t>
  </si>
  <si>
    <t>4.1</t>
  </si>
  <si>
    <t>UNID</t>
  </si>
  <si>
    <t>ADMINISTRÇÃO LOCAL</t>
  </si>
  <si>
    <t>2H/DIA - &gt; 4DIAS/SEMANA - &gt; 5SEMANAS/(5semanas)MÊS =40H/MÊS(220h)=0,18MÊS</t>
  </si>
  <si>
    <t xml:space="preserve">ANEXO III MEMÓRIA DE CÁLCULO </t>
  </si>
  <si>
    <t>ANEXO I PLANILHA ORÇAMENTÁRIA</t>
  </si>
  <si>
    <t>DATA: 19/07/2023</t>
  </si>
  <si>
    <t xml:space="preserve">COMPOSIÇÕES </t>
  </si>
  <si>
    <t xml:space="preserve">FORNECIMENTO E COLOCAÇÃO DE PLACA DE OBRA EM CHAPA
GALVANIZADA #26, ESP. 0,45MM, DIMENSÃO (3X1,5)M, PLOTADA
COM ADESIVO VINÍLICO, AFIXADA COM REBITES 4,8X40MM, EM
ESTRUTURA METÁLICA DE METALON 20X20MM, ESP. 1,25MM,
INCLUSIVE SUPORTE EM EUCALIPTO AUTOCLAVADO PINTADO
COM TINTA PVA DUAS (2) DEMÃOS
</t>
  </si>
  <si>
    <t xml:space="preserve">ED-28427 </t>
  </si>
  <si>
    <t>= 1 PLACA</t>
  </si>
  <si>
    <t>TIMBRADO</t>
  </si>
  <si>
    <t>TIMBRADO EMPRESA</t>
  </si>
  <si>
    <t>ENGENHEIRO</t>
  </si>
  <si>
    <t>R.T EMPRESA</t>
  </si>
  <si>
    <t xml:space="preserve">CREAMG Nº </t>
  </si>
  <si>
    <t>EMPRESA</t>
  </si>
  <si>
    <t>REPRESENTANTE EMPRESA</t>
  </si>
  <si>
    <t>CREA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</si>
</sst>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.0000000_);_(* \(#,##0.0000000\);_(* &quot;-&quot;??_);_(@_)"/>
    <numFmt numFmtId="166" formatCode="&quot;R$ &quot;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Calibri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color indexed="8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Arial"/>
      <family val="2"/>
    </font>
    <font>
      <sz val="9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416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3" fillId="0" borderId="2" xfId="0" applyFont="1" applyBorder="1"/>
    <xf numFmtId="165" fontId="2" fillId="0" borderId="2" xfId="1" applyNumberFormat="1" applyFont="1" applyBorder="1"/>
    <xf numFmtId="43" fontId="4" fillId="0" borderId="2" xfId="1" applyFont="1" applyBorder="1"/>
    <xf numFmtId="43" fontId="2" fillId="0" borderId="2" xfId="1" applyFont="1" applyBorder="1"/>
    <xf numFmtId="43" fontId="2" fillId="0" borderId="3" xfId="1" applyFont="1" applyBorder="1"/>
    <xf numFmtId="0" fontId="2" fillId="0" borderId="0" xfId="0" applyFont="1"/>
    <xf numFmtId="0" fontId="3" fillId="0" borderId="0" xfId="0" applyFont="1"/>
    <xf numFmtId="165" fontId="2" fillId="0" borderId="0" xfId="1" applyNumberFormat="1" applyFont="1"/>
    <xf numFmtId="43" fontId="4" fillId="0" borderId="0" xfId="1" applyFont="1"/>
    <xf numFmtId="43" fontId="2" fillId="0" borderId="0" xfId="1" applyFont="1"/>
    <xf numFmtId="43" fontId="8" fillId="0" borderId="20" xfId="1" applyFont="1" applyFill="1" applyBorder="1" applyAlignment="1">
      <alignment vertical="center"/>
    </xf>
    <xf numFmtId="43" fontId="8" fillId="0" borderId="23" xfId="1" applyFont="1" applyFill="1" applyBorder="1" applyAlignment="1">
      <alignment vertical="center"/>
    </xf>
    <xf numFmtId="43" fontId="8" fillId="0" borderId="18" xfId="1" applyFont="1" applyFill="1" applyBorder="1" applyAlignment="1">
      <alignment horizontal="center" vertical="center"/>
    </xf>
    <xf numFmtId="43" fontId="8" fillId="0" borderId="22" xfId="1" applyFont="1" applyFill="1" applyBorder="1" applyAlignment="1">
      <alignment horizontal="left" vertical="center"/>
    </xf>
    <xf numFmtId="43" fontId="8" fillId="0" borderId="27" xfId="1" applyFont="1" applyFill="1" applyBorder="1" applyAlignment="1">
      <alignment horizontal="center" vertical="center"/>
    </xf>
    <xf numFmtId="10" fontId="8" fillId="0" borderId="31" xfId="2" applyNumberFormat="1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165" fontId="8" fillId="0" borderId="34" xfId="1" applyNumberFormat="1" applyFont="1" applyFill="1" applyBorder="1" applyAlignment="1">
      <alignment horizontal="center" vertical="center"/>
    </xf>
    <xf numFmtId="43" fontId="8" fillId="0" borderId="34" xfId="1" applyFont="1" applyFill="1" applyBorder="1" applyAlignment="1">
      <alignment horizontal="center" vertical="center" wrapText="1"/>
    </xf>
    <xf numFmtId="43" fontId="8" fillId="0" borderId="35" xfId="1" applyFont="1" applyFill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49" fontId="10" fillId="0" borderId="38" xfId="0" applyNumberFormat="1" applyFont="1" applyBorder="1" applyAlignment="1">
      <alignment horizontal="center" vertical="center" wrapText="1"/>
    </xf>
    <xf numFmtId="0" fontId="10" fillId="0" borderId="38" xfId="0" applyFont="1" applyBorder="1" applyAlignment="1">
      <alignment horizontal="left" vertical="center" wrapText="1"/>
    </xf>
    <xf numFmtId="2" fontId="10" fillId="0" borderId="38" xfId="1" applyNumberFormat="1" applyFont="1" applyFill="1" applyBorder="1" applyAlignment="1">
      <alignment horizontal="center" vertical="center" wrapText="1"/>
    </xf>
    <xf numFmtId="165" fontId="10" fillId="0" borderId="38" xfId="1" applyNumberFormat="1" applyFont="1" applyBorder="1" applyAlignment="1">
      <alignment horizontal="center" vertical="center" wrapText="1"/>
    </xf>
    <xf numFmtId="43" fontId="10" fillId="0" borderId="38" xfId="1" applyFont="1" applyBorder="1" applyAlignment="1">
      <alignment horizontal="center" vertical="center" wrapText="1"/>
    </xf>
    <xf numFmtId="43" fontId="10" fillId="0" borderId="39" xfId="1" applyFont="1" applyBorder="1" applyAlignment="1">
      <alignment horizontal="center" vertical="center" wrapText="1"/>
    </xf>
    <xf numFmtId="0" fontId="10" fillId="2" borderId="36" xfId="0" applyFont="1" applyFill="1" applyBorder="1" applyAlignment="1">
      <alignment horizontal="center" vertical="center" wrapText="1"/>
    </xf>
    <xf numFmtId="0" fontId="10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left" vertical="center" wrapText="1"/>
    </xf>
    <xf numFmtId="2" fontId="10" fillId="2" borderId="38" xfId="1" applyNumberFormat="1" applyFont="1" applyFill="1" applyBorder="1" applyAlignment="1">
      <alignment horizontal="center" vertical="center" wrapText="1"/>
    </xf>
    <xf numFmtId="165" fontId="10" fillId="2" borderId="38" xfId="1" applyNumberFormat="1" applyFont="1" applyFill="1" applyBorder="1" applyAlignment="1">
      <alignment horizontal="center" vertical="center" wrapText="1"/>
    </xf>
    <xf numFmtId="43" fontId="10" fillId="2" borderId="38" xfId="1" applyFont="1" applyFill="1" applyBorder="1" applyAlignment="1">
      <alignment horizontal="center" vertical="center" wrapText="1"/>
    </xf>
    <xf numFmtId="43" fontId="10" fillId="2" borderId="39" xfId="1" applyFont="1" applyFill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1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left" vertical="center" wrapText="1"/>
    </xf>
    <xf numFmtId="2" fontId="11" fillId="0" borderId="38" xfId="1" applyNumberFormat="1" applyFont="1" applyFill="1" applyBorder="1" applyAlignment="1">
      <alignment horizontal="center" vertical="center" wrapText="1"/>
    </xf>
    <xf numFmtId="164" fontId="11" fillId="0" borderId="43" xfId="1" applyNumberFormat="1" applyFont="1" applyBorder="1" applyAlignment="1">
      <alignment horizontal="center" vertical="center" wrapText="1"/>
    </xf>
    <xf numFmtId="43" fontId="11" fillId="0" borderId="38" xfId="1" applyFont="1" applyBorder="1" applyAlignment="1">
      <alignment horizontal="center" vertical="center" wrapText="1"/>
    </xf>
    <xf numFmtId="43" fontId="11" fillId="0" borderId="43" xfId="1" applyFont="1" applyBorder="1" applyAlignment="1">
      <alignment horizontal="center" vertical="center" wrapText="1"/>
    </xf>
    <xf numFmtId="43" fontId="11" fillId="0" borderId="39" xfId="1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wrapText="1"/>
    </xf>
    <xf numFmtId="4" fontId="12" fillId="0" borderId="43" xfId="0" applyNumberFormat="1" applyFont="1" applyBorder="1" applyAlignment="1">
      <alignment horizontal="center" wrapText="1"/>
    </xf>
    <xf numFmtId="0" fontId="12" fillId="0" borderId="38" xfId="0" applyFont="1" applyBorder="1" applyAlignment="1">
      <alignment horizontal="center" wrapText="1"/>
    </xf>
    <xf numFmtId="0" fontId="12" fillId="4" borderId="38" xfId="0" applyFont="1" applyFill="1" applyBorder="1" applyAlignment="1" applyProtection="1">
      <alignment horizontal="center" wrapText="1"/>
      <protection locked="0"/>
    </xf>
    <xf numFmtId="4" fontId="12" fillId="0" borderId="38" xfId="0" applyNumberFormat="1" applyFont="1" applyBorder="1" applyAlignment="1">
      <alignment horizontal="center" wrapText="1"/>
    </xf>
    <xf numFmtId="2" fontId="11" fillId="0" borderId="43" xfId="1" applyNumberFormat="1" applyFont="1" applyBorder="1" applyAlignment="1">
      <alignment horizontal="center" vertical="center" wrapText="1"/>
    </xf>
    <xf numFmtId="49" fontId="12" fillId="4" borderId="43" xfId="0" applyNumberFormat="1" applyFont="1" applyFill="1" applyBorder="1" applyAlignment="1" applyProtection="1">
      <alignment horizontal="center" wrapText="1"/>
      <protection locked="0"/>
    </xf>
    <xf numFmtId="49" fontId="12" fillId="4" borderId="38" xfId="0" applyNumberFormat="1" applyFont="1" applyFill="1" applyBorder="1" applyAlignment="1" applyProtection="1">
      <alignment horizontal="center" wrapText="1"/>
      <protection locked="0"/>
    </xf>
    <xf numFmtId="43" fontId="13" fillId="0" borderId="48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165" fontId="3" fillId="0" borderId="0" xfId="1" applyNumberFormat="1" applyFont="1" applyBorder="1" applyAlignment="1">
      <alignment horizontal="left" vertical="center" wrapText="1"/>
    </xf>
    <xf numFmtId="43" fontId="11" fillId="0" borderId="0" xfId="1" applyFont="1" applyBorder="1" applyAlignment="1">
      <alignment horizontal="left" vertical="center" wrapText="1"/>
    </xf>
    <xf numFmtId="43" fontId="3" fillId="0" borderId="0" xfId="1" applyFont="1" applyBorder="1" applyAlignment="1">
      <alignment horizontal="left" vertical="center" wrapText="1"/>
    </xf>
    <xf numFmtId="43" fontId="3" fillId="0" borderId="5" xfId="1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vertical="center"/>
    </xf>
    <xf numFmtId="43" fontId="2" fillId="0" borderId="0" xfId="1" applyFont="1" applyBorder="1" applyAlignment="1">
      <alignment vertical="center"/>
    </xf>
    <xf numFmtId="43" fontId="2" fillId="0" borderId="5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3" fontId="3" fillId="0" borderId="5" xfId="1" applyFont="1" applyBorder="1" applyAlignment="1">
      <alignment vertical="center"/>
    </xf>
    <xf numFmtId="0" fontId="2" fillId="0" borderId="4" xfId="0" applyFont="1" applyBorder="1"/>
    <xf numFmtId="165" fontId="2" fillId="0" borderId="0" xfId="1" applyNumberFormat="1" applyFont="1" applyBorder="1"/>
    <xf numFmtId="43" fontId="4" fillId="0" borderId="0" xfId="1" applyFont="1" applyBorder="1"/>
    <xf numFmtId="43" fontId="2" fillId="0" borderId="0" xfId="1" applyFont="1" applyBorder="1"/>
    <xf numFmtId="43" fontId="2" fillId="0" borderId="5" xfId="1" applyFont="1" applyBorder="1"/>
    <xf numFmtId="0" fontId="3" fillId="0" borderId="49" xfId="0" applyFont="1" applyBorder="1"/>
    <xf numFmtId="0" fontId="2" fillId="0" borderId="49" xfId="0" applyFont="1" applyBorder="1"/>
    <xf numFmtId="43" fontId="3" fillId="0" borderId="0" xfId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165" fontId="3" fillId="0" borderId="7" xfId="1" applyNumberFormat="1" applyFont="1" applyBorder="1" applyAlignment="1">
      <alignment horizontal="center" vertical="center"/>
    </xf>
    <xf numFmtId="43" fontId="11" fillId="0" borderId="7" xfId="1" applyFont="1" applyBorder="1" applyAlignment="1">
      <alignment horizontal="center" vertical="center"/>
    </xf>
    <xf numFmtId="43" fontId="3" fillId="0" borderId="7" xfId="1" applyFont="1" applyBorder="1" applyAlignment="1">
      <alignment horizontal="center" vertical="center"/>
    </xf>
    <xf numFmtId="43" fontId="3" fillId="0" borderId="8" xfId="1" applyFont="1" applyBorder="1" applyAlignment="1">
      <alignment vertical="center"/>
    </xf>
    <xf numFmtId="0" fontId="0" fillId="0" borderId="0" xfId="0" quotePrefix="1"/>
    <xf numFmtId="0" fontId="11" fillId="0" borderId="42" xfId="0" applyFont="1" applyBorder="1" applyAlignment="1">
      <alignment horizontal="left" vertical="center" wrapText="1"/>
    </xf>
    <xf numFmtId="43" fontId="11" fillId="0" borderId="38" xfId="1" applyFont="1" applyFill="1" applyBorder="1" applyAlignment="1">
      <alignment horizontal="center" vertical="center" wrapText="1"/>
    </xf>
    <xf numFmtId="43" fontId="8" fillId="0" borderId="15" xfId="1" applyFont="1" applyFill="1" applyBorder="1" applyAlignment="1">
      <alignment vertical="center"/>
    </xf>
    <xf numFmtId="43" fontId="8" fillId="0" borderId="13" xfId="1" applyFont="1" applyFill="1" applyBorder="1" applyAlignment="1">
      <alignment vertical="center"/>
    </xf>
    <xf numFmtId="43" fontId="8" fillId="0" borderId="16" xfId="1" applyFont="1" applyFill="1" applyBorder="1" applyAlignment="1">
      <alignment vertical="center"/>
    </xf>
    <xf numFmtId="43" fontId="10" fillId="0" borderId="0" xfId="1" applyFont="1"/>
    <xf numFmtId="0" fontId="4" fillId="0" borderId="0" xfId="0" applyFont="1"/>
    <xf numFmtId="0" fontId="8" fillId="0" borderId="7" xfId="0" applyFont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4" fillId="0" borderId="0" xfId="0" quotePrefix="1" applyFont="1"/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15" fillId="0" borderId="0" xfId="0" applyFont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16" fillId="0" borderId="0" xfId="0" applyFont="1"/>
    <xf numFmtId="0" fontId="17" fillId="0" borderId="55" xfId="0" applyFont="1" applyBorder="1"/>
    <xf numFmtId="0" fontId="17" fillId="0" borderId="44" xfId="0" applyFont="1" applyBorder="1" applyAlignment="1">
      <alignment horizontal="center"/>
    </xf>
    <xf numFmtId="0" fontId="17" fillId="0" borderId="44" xfId="0" applyFont="1" applyBorder="1"/>
    <xf numFmtId="0" fontId="17" fillId="0" borderId="23" xfId="0" applyFont="1" applyBorder="1"/>
    <xf numFmtId="10" fontId="17" fillId="0" borderId="44" xfId="2" applyNumberFormat="1" applyFont="1" applyBorder="1" applyAlignment="1">
      <alignment horizontal="center"/>
    </xf>
    <xf numFmtId="0" fontId="18" fillId="0" borderId="55" xfId="0" applyFont="1" applyBorder="1"/>
    <xf numFmtId="0" fontId="18" fillId="0" borderId="44" xfId="0" applyFont="1" applyBorder="1" applyAlignment="1">
      <alignment horizontal="center"/>
    </xf>
    <xf numFmtId="10" fontId="18" fillId="0" borderId="44" xfId="2" applyNumberFormat="1" applyFont="1" applyBorder="1" applyAlignment="1">
      <alignment horizontal="center"/>
    </xf>
    <xf numFmtId="0" fontId="18" fillId="0" borderId="44" xfId="0" applyFont="1" applyBorder="1"/>
    <xf numFmtId="0" fontId="18" fillId="0" borderId="23" xfId="0" applyFont="1" applyBorder="1"/>
    <xf numFmtId="0" fontId="19" fillId="0" borderId="0" xfId="0" applyFont="1"/>
    <xf numFmtId="10" fontId="17" fillId="7" borderId="44" xfId="2" applyNumberFormat="1" applyFont="1" applyFill="1" applyBorder="1" applyAlignment="1">
      <alignment horizontal="center"/>
    </xf>
    <xf numFmtId="0" fontId="17" fillId="7" borderId="44" xfId="0" applyFont="1" applyFill="1" applyBorder="1" applyAlignment="1">
      <alignment horizontal="center"/>
    </xf>
    <xf numFmtId="10" fontId="17" fillId="0" borderId="44" xfId="2" applyNumberFormat="1" applyFont="1" applyBorder="1"/>
    <xf numFmtId="0" fontId="17" fillId="0" borderId="6" xfId="0" applyFont="1" applyBorder="1"/>
    <xf numFmtId="0" fontId="17" fillId="0" borderId="4" xfId="0" applyFont="1" applyBorder="1"/>
    <xf numFmtId="0" fontId="17" fillId="0" borderId="0" xfId="0" applyFont="1"/>
    <xf numFmtId="0" fontId="17" fillId="0" borderId="5" xfId="0" applyFont="1" applyBorder="1"/>
    <xf numFmtId="0" fontId="4" fillId="0" borderId="7" xfId="0" applyFont="1" applyBorder="1"/>
    <xf numFmtId="0" fontId="4" fillId="0" borderId="8" xfId="0" applyFont="1" applyBorder="1"/>
    <xf numFmtId="0" fontId="4" fillId="5" borderId="0" xfId="0" applyFont="1" applyFill="1"/>
    <xf numFmtId="0" fontId="4" fillId="5" borderId="0" xfId="0" applyFont="1" applyFill="1" applyAlignment="1">
      <alignment wrapText="1"/>
    </xf>
    <xf numFmtId="0" fontId="4" fillId="5" borderId="1" xfId="0" applyFont="1" applyFill="1" applyBorder="1"/>
    <xf numFmtId="0" fontId="4" fillId="5" borderId="2" xfId="0" applyFont="1" applyFill="1" applyBorder="1"/>
    <xf numFmtId="0" fontId="4" fillId="5" borderId="2" xfId="0" applyFont="1" applyFill="1" applyBorder="1" applyAlignment="1">
      <alignment wrapText="1"/>
    </xf>
    <xf numFmtId="0" fontId="4" fillId="5" borderId="3" xfId="0" applyFont="1" applyFill="1" applyBorder="1"/>
    <xf numFmtId="0" fontId="4" fillId="5" borderId="6" xfId="0" applyFont="1" applyFill="1" applyBorder="1"/>
    <xf numFmtId="0" fontId="4" fillId="5" borderId="7" xfId="0" applyFont="1" applyFill="1" applyBorder="1"/>
    <xf numFmtId="0" fontId="4" fillId="5" borderId="7" xfId="0" applyFont="1" applyFill="1" applyBorder="1" applyAlignment="1">
      <alignment wrapText="1"/>
    </xf>
    <xf numFmtId="0" fontId="4" fillId="5" borderId="8" xfId="0" applyFont="1" applyFill="1" applyBorder="1"/>
    <xf numFmtId="0" fontId="8" fillId="5" borderId="54" xfId="0" applyFont="1" applyFill="1" applyBorder="1" applyAlignment="1">
      <alignment horizontal="center" vertical="center" wrapText="1"/>
    </xf>
    <xf numFmtId="0" fontId="20" fillId="5" borderId="58" xfId="0" applyFont="1" applyFill="1" applyBorder="1" applyAlignment="1">
      <alignment vertical="center"/>
    </xf>
    <xf numFmtId="0" fontId="20" fillId="5" borderId="59" xfId="0" applyFont="1" applyFill="1" applyBorder="1" applyAlignment="1">
      <alignment vertical="center"/>
    </xf>
    <xf numFmtId="0" fontId="20" fillId="5" borderId="0" xfId="0" applyFont="1" applyFill="1"/>
    <xf numFmtId="0" fontId="8" fillId="5" borderId="20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vertical="center"/>
    </xf>
    <xf numFmtId="0" fontId="8" fillId="5" borderId="49" xfId="0" applyFont="1" applyFill="1" applyBorder="1" applyAlignment="1">
      <alignment vertical="center"/>
    </xf>
    <xf numFmtId="0" fontId="8" fillId="5" borderId="60" xfId="0" applyFont="1" applyFill="1" applyBorder="1" applyAlignment="1">
      <alignment vertical="center"/>
    </xf>
    <xf numFmtId="0" fontId="8" fillId="5" borderId="54" xfId="0" applyFont="1" applyFill="1" applyBorder="1" applyAlignment="1">
      <alignment horizontal="center" vertical="center"/>
    </xf>
    <xf numFmtId="49" fontId="21" fillId="5" borderId="41" xfId="0" applyNumberFormat="1" applyFont="1" applyFill="1" applyBorder="1" applyAlignment="1">
      <alignment horizontal="center" vertical="top" wrapText="1"/>
    </xf>
    <xf numFmtId="10" fontId="21" fillId="5" borderId="62" xfId="0" applyNumberFormat="1" applyFont="1" applyFill="1" applyBorder="1" applyAlignment="1">
      <alignment vertical="top" wrapText="1"/>
    </xf>
    <xf numFmtId="10" fontId="21" fillId="5" borderId="63" xfId="0" applyNumberFormat="1" applyFont="1" applyFill="1" applyBorder="1" applyAlignment="1">
      <alignment vertical="top" wrapText="1"/>
    </xf>
    <xf numFmtId="10" fontId="4" fillId="5" borderId="0" xfId="0" applyNumberFormat="1" applyFont="1" applyFill="1"/>
    <xf numFmtId="4" fontId="21" fillId="5" borderId="41" xfId="0" applyNumberFormat="1" applyFont="1" applyFill="1" applyBorder="1" applyAlignment="1">
      <alignment vertical="top" wrapText="1"/>
    </xf>
    <xf numFmtId="166" fontId="20" fillId="5" borderId="41" xfId="0" applyNumberFormat="1" applyFont="1" applyFill="1" applyBorder="1" applyAlignment="1">
      <alignment vertical="top" wrapText="1"/>
    </xf>
    <xf numFmtId="166" fontId="20" fillId="5" borderId="64" xfId="0" applyNumberFormat="1" applyFont="1" applyFill="1" applyBorder="1" applyAlignment="1">
      <alignment vertical="top" wrapText="1"/>
    </xf>
    <xf numFmtId="166" fontId="4" fillId="5" borderId="0" xfId="0" applyNumberFormat="1" applyFont="1" applyFill="1"/>
    <xf numFmtId="10" fontId="21" fillId="5" borderId="62" xfId="2" applyNumberFormat="1" applyFont="1" applyFill="1" applyBorder="1" applyAlignment="1">
      <alignment vertical="top" wrapText="1"/>
    </xf>
    <xf numFmtId="164" fontId="21" fillId="5" borderId="41" xfId="2" applyNumberFormat="1" applyFont="1" applyFill="1" applyBorder="1" applyAlignment="1">
      <alignment vertical="top" wrapText="1"/>
    </xf>
    <xf numFmtId="49" fontId="21" fillId="5" borderId="62" xfId="0" applyNumberFormat="1" applyFont="1" applyFill="1" applyBorder="1" applyAlignment="1">
      <alignment horizontal="center" vertical="top" wrapText="1"/>
    </xf>
    <xf numFmtId="10" fontId="20" fillId="5" borderId="62" xfId="1" applyNumberFormat="1" applyFont="1" applyFill="1" applyBorder="1" applyAlignment="1">
      <alignment vertical="top" wrapText="1"/>
    </xf>
    <xf numFmtId="10" fontId="20" fillId="5" borderId="62" xfId="0" applyNumberFormat="1" applyFont="1" applyFill="1" applyBorder="1" applyAlignment="1">
      <alignment vertical="top" wrapText="1"/>
    </xf>
    <xf numFmtId="10" fontId="20" fillId="5" borderId="66" xfId="0" applyNumberFormat="1" applyFont="1" applyFill="1" applyBorder="1" applyAlignment="1">
      <alignment vertical="top" wrapText="1"/>
    </xf>
    <xf numFmtId="10" fontId="20" fillId="5" borderId="63" xfId="0" applyNumberFormat="1" applyFont="1" applyFill="1" applyBorder="1" applyAlignment="1">
      <alignment vertical="top" wrapText="1"/>
    </xf>
    <xf numFmtId="4" fontId="21" fillId="5" borderId="40" xfId="0" applyNumberFormat="1" applyFont="1" applyFill="1" applyBorder="1" applyAlignment="1">
      <alignment vertical="top" wrapText="1"/>
    </xf>
    <xf numFmtId="4" fontId="21" fillId="5" borderId="64" xfId="0" applyNumberFormat="1" applyFont="1" applyFill="1" applyBorder="1" applyAlignment="1">
      <alignment vertical="top" wrapText="1"/>
    </xf>
    <xf numFmtId="49" fontId="22" fillId="5" borderId="68" xfId="0" applyNumberFormat="1" applyFont="1" applyFill="1" applyBorder="1" applyAlignment="1">
      <alignment horizontal="center" vertical="top" wrapText="1"/>
    </xf>
    <xf numFmtId="10" fontId="21" fillId="5" borderId="68" xfId="0" applyNumberFormat="1" applyFont="1" applyFill="1" applyBorder="1" applyAlignment="1">
      <alignment vertical="top" wrapText="1"/>
    </xf>
    <xf numFmtId="49" fontId="22" fillId="5" borderId="69" xfId="0" applyNumberFormat="1" applyFont="1" applyFill="1" applyBorder="1" applyAlignment="1">
      <alignment horizontal="center" vertical="top" wrapText="1"/>
    </xf>
    <xf numFmtId="166" fontId="21" fillId="5" borderId="69" xfId="0" applyNumberFormat="1" applyFont="1" applyFill="1" applyBorder="1" applyAlignment="1">
      <alignment vertical="top" wrapText="1"/>
    </xf>
    <xf numFmtId="0" fontId="4" fillId="5" borderId="4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vertical="center" wrapText="1"/>
    </xf>
    <xf numFmtId="0" fontId="4" fillId="5" borderId="5" xfId="0" applyFont="1" applyFill="1" applyBorder="1" applyAlignment="1">
      <alignment vertical="center"/>
    </xf>
    <xf numFmtId="4" fontId="4" fillId="5" borderId="0" xfId="0" applyNumberFormat="1" applyFont="1" applyFill="1"/>
    <xf numFmtId="0" fontId="8" fillId="5" borderId="1" xfId="0" applyFont="1" applyFill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8" fillId="5" borderId="59" xfId="0" applyFont="1" applyFill="1" applyBorder="1" applyAlignment="1">
      <alignment wrapText="1"/>
    </xf>
    <xf numFmtId="0" fontId="4" fillId="5" borderId="58" xfId="0" applyFont="1" applyFill="1" applyBorder="1"/>
    <xf numFmtId="0" fontId="8" fillId="5" borderId="4" xfId="0" applyFont="1" applyFill="1" applyBorder="1" applyAlignment="1">
      <alignment wrapText="1"/>
    </xf>
    <xf numFmtId="0" fontId="4" fillId="0" borderId="0" xfId="0" applyFont="1" applyAlignment="1">
      <alignment horizontal="center" vertical="center"/>
    </xf>
    <xf numFmtId="0" fontId="8" fillId="5" borderId="0" xfId="0" applyFont="1" applyFill="1" applyAlignment="1">
      <alignment wrapText="1"/>
    </xf>
    <xf numFmtId="0" fontId="4" fillId="5" borderId="52" xfId="0" applyFont="1" applyFill="1" applyBorder="1"/>
    <xf numFmtId="0" fontId="8" fillId="5" borderId="51" xfId="0" applyFont="1" applyFill="1" applyBorder="1"/>
    <xf numFmtId="0" fontId="4" fillId="5" borderId="5" xfId="0" applyFont="1" applyFill="1" applyBorder="1"/>
    <xf numFmtId="0" fontId="8" fillId="5" borderId="4" xfId="0" applyFont="1" applyFill="1" applyBorder="1"/>
    <xf numFmtId="0" fontId="11" fillId="0" borderId="0" xfId="0" applyFont="1" applyAlignment="1">
      <alignment horizontal="center" vertical="center"/>
    </xf>
    <xf numFmtId="0" fontId="4" fillId="5" borderId="51" xfId="0" applyFont="1" applyFill="1" applyBorder="1"/>
    <xf numFmtId="0" fontId="4" fillId="5" borderId="4" xfId="0" applyFont="1" applyFill="1" applyBorder="1"/>
    <xf numFmtId="0" fontId="23" fillId="5" borderId="4" xfId="0" applyFont="1" applyFill="1" applyBorder="1"/>
    <xf numFmtId="0" fontId="23" fillId="5" borderId="0" xfId="0" applyFont="1" applyFill="1" applyAlignment="1">
      <alignment wrapText="1"/>
    </xf>
    <xf numFmtId="0" fontId="8" fillId="5" borderId="0" xfId="0" applyFont="1" applyFill="1" applyAlignment="1">
      <alignment horizontal="right"/>
    </xf>
    <xf numFmtId="0" fontId="20" fillId="5" borderId="6" xfId="0" applyFont="1" applyFill="1" applyBorder="1"/>
    <xf numFmtId="0" fontId="20" fillId="5" borderId="7" xfId="0" applyFont="1" applyFill="1" applyBorder="1" applyAlignment="1">
      <alignment wrapText="1"/>
    </xf>
    <xf numFmtId="0" fontId="4" fillId="5" borderId="30" xfId="0" applyFont="1" applyFill="1" applyBorder="1"/>
    <xf numFmtId="0" fontId="4" fillId="5" borderId="29" xfId="0" applyFont="1" applyFill="1" applyBorder="1"/>
    <xf numFmtId="0" fontId="20" fillId="5" borderId="0" xfId="0" applyFont="1" applyFill="1" applyAlignment="1">
      <alignment wrapText="1"/>
    </xf>
    <xf numFmtId="0" fontId="2" fillId="0" borderId="50" xfId="0" applyFont="1" applyBorder="1" applyAlignment="1">
      <alignment vertical="center"/>
    </xf>
    <xf numFmtId="0" fontId="4" fillId="0" borderId="4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3" fontId="0" fillId="0" borderId="0" xfId="0" applyNumberFormat="1"/>
    <xf numFmtId="0" fontId="0" fillId="0" borderId="6" xfId="0" applyBorder="1"/>
    <xf numFmtId="0" fontId="0" fillId="0" borderId="7" xfId="0" applyBorder="1"/>
    <xf numFmtId="0" fontId="0" fillId="0" borderId="8" xfId="0" applyBorder="1"/>
    <xf numFmtId="49" fontId="12" fillId="0" borderId="36" xfId="0" applyNumberFormat="1" applyFont="1" applyBorder="1" applyAlignment="1" applyProtection="1">
      <alignment horizontal="center" wrapText="1"/>
      <protection locked="0"/>
    </xf>
    <xf numFmtId="4" fontId="12" fillId="0" borderId="39" xfId="0" applyNumberFormat="1" applyFont="1" applyBorder="1" applyAlignment="1">
      <alignment horizontal="center" wrapText="1"/>
    </xf>
    <xf numFmtId="49" fontId="12" fillId="0" borderId="72" xfId="0" applyNumberFormat="1" applyFont="1" applyBorder="1" applyAlignment="1" applyProtection="1">
      <alignment horizontal="center" wrapText="1"/>
      <protection locked="0"/>
    </xf>
    <xf numFmtId="0" fontId="26" fillId="5" borderId="70" xfId="3" applyFont="1" applyFill="1" applyBorder="1" applyAlignment="1">
      <alignment horizontal="center" vertical="center"/>
    </xf>
    <xf numFmtId="49" fontId="26" fillId="5" borderId="60" xfId="3" applyNumberFormat="1" applyFont="1" applyFill="1" applyBorder="1" applyAlignment="1">
      <alignment horizontal="center" vertical="center"/>
    </xf>
    <xf numFmtId="0" fontId="26" fillId="5" borderId="60" xfId="3" applyFont="1" applyFill="1" applyBorder="1" applyAlignment="1">
      <alignment vertical="center"/>
    </xf>
    <xf numFmtId="0" fontId="26" fillId="5" borderId="60" xfId="3" applyFont="1" applyFill="1" applyBorder="1" applyAlignment="1">
      <alignment horizontal="center" vertical="center"/>
    </xf>
    <xf numFmtId="4" fontId="26" fillId="5" borderId="60" xfId="3" applyNumberFormat="1" applyFont="1" applyFill="1" applyBorder="1" applyAlignment="1">
      <alignment horizontal="center" vertical="center" wrapText="1"/>
    </xf>
    <xf numFmtId="4" fontId="26" fillId="5" borderId="71" xfId="3" applyNumberFormat="1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left" vertical="center" wrapText="1"/>
    </xf>
    <xf numFmtId="0" fontId="11" fillId="2" borderId="44" xfId="0" applyFont="1" applyFill="1" applyBorder="1" applyAlignment="1">
      <alignment horizontal="left" vertical="center" wrapText="1"/>
    </xf>
    <xf numFmtId="0" fontId="12" fillId="6" borderId="44" xfId="0" applyFont="1" applyFill="1" applyBorder="1" applyAlignment="1">
      <alignment horizontal="center"/>
    </xf>
    <xf numFmtId="0" fontId="12" fillId="6" borderId="44" xfId="0" applyFont="1" applyFill="1" applyBorder="1"/>
    <xf numFmtId="4" fontId="12" fillId="6" borderId="44" xfId="0" applyNumberFormat="1" applyFont="1" applyFill="1" applyBorder="1" applyAlignment="1">
      <alignment horizontal="center"/>
    </xf>
    <xf numFmtId="4" fontId="12" fillId="6" borderId="23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2" fontId="11" fillId="0" borderId="0" xfId="1" applyNumberFormat="1" applyFont="1" applyFill="1" applyBorder="1" applyAlignment="1">
      <alignment horizontal="center" vertical="center" wrapText="1"/>
    </xf>
    <xf numFmtId="164" fontId="11" fillId="0" borderId="0" xfId="1" applyNumberFormat="1" applyFont="1" applyBorder="1" applyAlignment="1">
      <alignment horizontal="center" vertical="center" wrapText="1"/>
    </xf>
    <xf numFmtId="43" fontId="11" fillId="0" borderId="0" xfId="1" applyFont="1" applyBorder="1" applyAlignment="1">
      <alignment horizontal="center" vertical="center" wrapText="1"/>
    </xf>
    <xf numFmtId="43" fontId="11" fillId="0" borderId="5" xfId="1" applyFont="1" applyBorder="1" applyAlignment="1">
      <alignment horizontal="center" vertical="center" wrapText="1"/>
    </xf>
    <xf numFmtId="0" fontId="11" fillId="2" borderId="44" xfId="0" applyFont="1" applyFill="1" applyBorder="1" applyAlignment="1">
      <alignment horizontal="center" vertical="center" wrapText="1"/>
    </xf>
    <xf numFmtId="2" fontId="11" fillId="0" borderId="46" xfId="1" quotePrefix="1" applyNumberFormat="1" applyFont="1" applyBorder="1" applyAlignment="1">
      <alignment horizontal="center" vertical="center" wrapText="1"/>
    </xf>
    <xf numFmtId="2" fontId="11" fillId="0" borderId="42" xfId="1" applyNumberFormat="1" applyFont="1" applyBorder="1" applyAlignment="1">
      <alignment horizontal="center" vertical="center" wrapText="1"/>
    </xf>
    <xf numFmtId="2" fontId="11" fillId="0" borderId="47" xfId="1" applyNumberFormat="1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12" fillId="8" borderId="41" xfId="4" applyFont="1" applyFill="1" applyBorder="1" applyAlignment="1" applyProtection="1">
      <alignment horizontal="center" vertical="center" wrapText="1"/>
      <protection locked="0"/>
    </xf>
    <xf numFmtId="0" fontId="12" fillId="8" borderId="41" xfId="4" applyFont="1" applyFill="1" applyBorder="1" applyAlignment="1" applyProtection="1">
      <alignment vertical="center" wrapText="1"/>
      <protection locked="0"/>
    </xf>
    <xf numFmtId="2" fontId="12" fillId="6" borderId="44" xfId="0" applyNumberFormat="1" applyFont="1" applyFill="1" applyBorder="1"/>
    <xf numFmtId="2" fontId="12" fillId="4" borderId="38" xfId="0" applyNumberFormat="1" applyFont="1" applyFill="1" applyBorder="1" applyAlignment="1" applyProtection="1">
      <alignment horizontal="center" wrapText="1"/>
      <protection locked="0"/>
    </xf>
    <xf numFmtId="49" fontId="12" fillId="0" borderId="43" xfId="0" applyNumberFormat="1" applyFont="1" applyBorder="1" applyAlignment="1" applyProtection="1">
      <alignment horizontal="center" wrapText="1"/>
      <protection locked="0"/>
    </xf>
    <xf numFmtId="0" fontId="27" fillId="0" borderId="0" xfId="0" applyFont="1" applyAlignment="1">
      <alignment horizontal="center"/>
    </xf>
    <xf numFmtId="0" fontId="17" fillId="0" borderId="51" xfId="0" applyFont="1" applyBorder="1"/>
    <xf numFmtId="0" fontId="2" fillId="0" borderId="51" xfId="0" applyFont="1" applyBorder="1" applyAlignment="1">
      <alignment vertical="center"/>
    </xf>
    <xf numFmtId="0" fontId="4" fillId="3" borderId="2" xfId="0" applyFont="1" applyFill="1" applyBorder="1"/>
    <xf numFmtId="0" fontId="4" fillId="0" borderId="6" xfId="0" applyFont="1" applyBorder="1"/>
    <xf numFmtId="0" fontId="4" fillId="3" borderId="7" xfId="0" applyFont="1" applyFill="1" applyBorder="1"/>
    <xf numFmtId="0" fontId="8" fillId="5" borderId="71" xfId="0" applyFont="1" applyFill="1" applyBorder="1" applyAlignment="1">
      <alignment horizontal="center" vertical="center"/>
    </xf>
    <xf numFmtId="0" fontId="20" fillId="5" borderId="2" xfId="0" applyFont="1" applyFill="1" applyBorder="1" applyAlignment="1">
      <alignment vertical="center"/>
    </xf>
    <xf numFmtId="166" fontId="20" fillId="5" borderId="2" xfId="0" applyNumberFormat="1" applyFont="1" applyFill="1" applyBorder="1" applyAlignment="1">
      <alignment vertical="center"/>
    </xf>
    <xf numFmtId="0" fontId="20" fillId="5" borderId="4" xfId="0" applyFont="1" applyFill="1" applyBorder="1"/>
    <xf numFmtId="43" fontId="2" fillId="0" borderId="0" xfId="1" applyFont="1" applyBorder="1" applyAlignment="1">
      <alignment horizontal="center" vertical="center"/>
    </xf>
    <xf numFmtId="43" fontId="3" fillId="0" borderId="0" xfId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43" fontId="8" fillId="0" borderId="21" xfId="1" applyFont="1" applyFill="1" applyBorder="1" applyAlignment="1">
      <alignment horizontal="center" vertical="center" wrapText="1"/>
    </xf>
    <xf numFmtId="43" fontId="8" fillId="0" borderId="19" xfId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7" xfId="0" applyFont="1" applyBorder="1" applyAlignment="1">
      <alignment vertical="justify"/>
    </xf>
    <xf numFmtId="0" fontId="8" fillId="0" borderId="18" xfId="0" applyFont="1" applyBorder="1" applyAlignment="1">
      <alignment vertical="justify"/>
    </xf>
    <xf numFmtId="0" fontId="8" fillId="0" borderId="19" xfId="0" applyFont="1" applyBorder="1" applyAlignment="1">
      <alignment vertical="justify"/>
    </xf>
    <xf numFmtId="43" fontId="8" fillId="0" borderId="21" xfId="1" applyFont="1" applyFill="1" applyBorder="1" applyAlignment="1">
      <alignment vertical="center"/>
    </xf>
    <xf numFmtId="43" fontId="8" fillId="0" borderId="22" xfId="1" applyFont="1" applyFill="1" applyBorder="1" applyAlignment="1">
      <alignment vertical="center"/>
    </xf>
    <xf numFmtId="164" fontId="11" fillId="0" borderId="73" xfId="1" quotePrefix="1" applyNumberFormat="1" applyFont="1" applyBorder="1" applyAlignment="1">
      <alignment horizontal="center" vertical="center" wrapText="1"/>
    </xf>
    <xf numFmtId="164" fontId="11" fillId="0" borderId="74" xfId="1" applyNumberFormat="1" applyFont="1" applyBorder="1" applyAlignment="1">
      <alignment horizontal="center" vertical="center" wrapText="1"/>
    </xf>
    <xf numFmtId="164" fontId="11" fillId="0" borderId="75" xfId="1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43" fontId="8" fillId="0" borderId="21" xfId="1" applyFont="1" applyFill="1" applyBorder="1" applyAlignment="1">
      <alignment horizontal="center" vertical="center"/>
    </xf>
    <xf numFmtId="43" fontId="8" fillId="0" borderId="18" xfId="1" applyFont="1" applyFill="1" applyBorder="1" applyAlignment="1">
      <alignment horizontal="center" vertical="center"/>
    </xf>
    <xf numFmtId="43" fontId="8" fillId="0" borderId="22" xfId="1" applyFont="1" applyFill="1" applyBorder="1" applyAlignment="1">
      <alignment horizontal="center" vertical="center"/>
    </xf>
    <xf numFmtId="165" fontId="8" fillId="0" borderId="24" xfId="1" applyNumberFormat="1" applyFont="1" applyFill="1" applyBorder="1" applyAlignment="1">
      <alignment horizontal="center" vertical="center"/>
    </xf>
    <xf numFmtId="165" fontId="8" fillId="0" borderId="29" xfId="1" applyNumberFormat="1" applyFont="1" applyFill="1" applyBorder="1" applyAlignment="1">
      <alignment horizontal="center" vertical="center"/>
    </xf>
    <xf numFmtId="43" fontId="8" fillId="0" borderId="25" xfId="1" applyFont="1" applyFill="1" applyBorder="1" applyAlignment="1">
      <alignment horizontal="left" vertical="center"/>
    </xf>
    <xf numFmtId="43" fontId="8" fillId="0" borderId="30" xfId="1" applyFont="1" applyFill="1" applyBorder="1" applyAlignment="1">
      <alignment horizontal="left" vertical="center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28" xfId="0" applyFont="1" applyBorder="1" applyAlignment="1">
      <alignment horizontal="left" vertical="center" wrapText="1"/>
    </xf>
    <xf numFmtId="43" fontId="8" fillId="0" borderId="19" xfId="1" applyFont="1" applyFill="1" applyBorder="1" applyAlignment="1">
      <alignment vertical="center"/>
    </xf>
    <xf numFmtId="43" fontId="8" fillId="0" borderId="15" xfId="1" applyFont="1" applyFill="1" applyBorder="1" applyAlignment="1">
      <alignment vertical="center"/>
    </xf>
    <xf numFmtId="43" fontId="8" fillId="0" borderId="13" xfId="1" applyFont="1" applyFill="1" applyBorder="1" applyAlignment="1">
      <alignment vertical="center"/>
    </xf>
    <xf numFmtId="43" fontId="8" fillId="0" borderId="16" xfId="1" applyFont="1" applyFill="1" applyBorder="1" applyAlignment="1">
      <alignment vertical="center"/>
    </xf>
    <xf numFmtId="2" fontId="11" fillId="0" borderId="46" xfId="1" quotePrefix="1" applyNumberFormat="1" applyFont="1" applyBorder="1" applyAlignment="1">
      <alignment horizontal="center" vertical="center" wrapText="1"/>
    </xf>
    <xf numFmtId="2" fontId="11" fillId="0" borderId="42" xfId="1" applyNumberFormat="1" applyFont="1" applyBorder="1" applyAlignment="1">
      <alignment horizontal="center" vertical="center" wrapText="1"/>
    </xf>
    <xf numFmtId="2" fontId="11" fillId="0" borderId="47" xfId="1" applyNumberFormat="1" applyFont="1" applyBorder="1" applyAlignment="1">
      <alignment horizontal="center" vertical="center" wrapText="1"/>
    </xf>
    <xf numFmtId="43" fontId="11" fillId="0" borderId="46" xfId="1" quotePrefix="1" applyFont="1" applyBorder="1" applyAlignment="1">
      <alignment horizontal="center" vertical="center" wrapText="1"/>
    </xf>
    <xf numFmtId="43" fontId="11" fillId="0" borderId="42" xfId="1" applyFont="1" applyBorder="1" applyAlignment="1">
      <alignment horizontal="center" vertical="center" wrapText="1"/>
    </xf>
    <xf numFmtId="43" fontId="11" fillId="0" borderId="47" xfId="1" applyFont="1" applyBorder="1" applyAlignment="1">
      <alignment horizontal="center" vertical="center" wrapText="1"/>
    </xf>
    <xf numFmtId="2" fontId="11" fillId="0" borderId="46" xfId="1" quotePrefix="1" applyNumberFormat="1" applyFont="1" applyFill="1" applyBorder="1" applyAlignment="1">
      <alignment horizontal="center" vertical="center" wrapText="1"/>
    </xf>
    <xf numFmtId="2" fontId="11" fillId="0" borderId="42" xfId="1" applyNumberFormat="1" applyFont="1" applyFill="1" applyBorder="1" applyAlignment="1">
      <alignment horizontal="center" vertical="center" wrapText="1"/>
    </xf>
    <xf numFmtId="2" fontId="11" fillId="0" borderId="47" xfId="1" applyNumberFormat="1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43" fontId="8" fillId="0" borderId="45" xfId="1" applyFont="1" applyFill="1" applyBorder="1" applyAlignment="1">
      <alignment horizontal="center" vertical="center" wrapText="1"/>
    </xf>
    <xf numFmtId="43" fontId="8" fillId="0" borderId="10" xfId="1" applyFont="1" applyFill="1" applyBorder="1" applyAlignment="1">
      <alignment horizontal="center" vertical="center" wrapText="1"/>
    </xf>
    <xf numFmtId="43" fontId="8" fillId="0" borderId="11" xfId="1" applyFont="1" applyFill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44" xfId="0" applyFont="1" applyBorder="1"/>
    <xf numFmtId="0" fontId="17" fillId="0" borderId="56" xfId="0" applyFont="1" applyBorder="1" applyAlignment="1">
      <alignment horizontal="center"/>
    </xf>
    <xf numFmtId="0" fontId="17" fillId="0" borderId="57" xfId="0" applyFont="1" applyBorder="1" applyAlignment="1">
      <alignment horizontal="center"/>
    </xf>
    <xf numFmtId="0" fontId="17" fillId="0" borderId="6" xfId="0" applyFont="1" applyBorder="1"/>
    <xf numFmtId="0" fontId="17" fillId="0" borderId="7" xfId="0" applyFont="1" applyBorder="1"/>
    <xf numFmtId="0" fontId="17" fillId="0" borderId="8" xfId="0" applyFont="1" applyBorder="1"/>
    <xf numFmtId="0" fontId="17" fillId="0" borderId="53" xfId="0" applyFont="1" applyBorder="1" applyAlignment="1">
      <alignment horizontal="center"/>
    </xf>
    <xf numFmtId="0" fontId="17" fillId="0" borderId="49" xfId="0" applyFont="1" applyBorder="1" applyAlignment="1">
      <alignment horizontal="center"/>
    </xf>
    <xf numFmtId="0" fontId="18" fillId="7" borderId="44" xfId="0" applyFont="1" applyFill="1" applyBorder="1" applyAlignment="1">
      <alignment vertical="center"/>
    </xf>
    <xf numFmtId="10" fontId="18" fillId="7" borderId="44" xfId="2" applyNumberFormat="1" applyFont="1" applyFill="1" applyBorder="1" applyAlignment="1">
      <alignment vertical="center"/>
    </xf>
    <xf numFmtId="0" fontId="17" fillId="0" borderId="55" xfId="0" applyFont="1" applyBorder="1"/>
    <xf numFmtId="0" fontId="17" fillId="0" borderId="23" xfId="0" applyFont="1" applyBorder="1"/>
    <xf numFmtId="0" fontId="17" fillId="0" borderId="44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164" fontId="8" fillId="0" borderId="44" xfId="0" applyNumberFormat="1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  <xf numFmtId="0" fontId="8" fillId="0" borderId="21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3" borderId="25" xfId="0" applyFont="1" applyFill="1" applyBorder="1" applyAlignment="1">
      <alignment horizontal="left" vertical="center"/>
    </xf>
    <xf numFmtId="0" fontId="8" fillId="3" borderId="30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55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43" fontId="8" fillId="0" borderId="15" xfId="0" applyNumberFormat="1" applyFont="1" applyBorder="1" applyAlignment="1">
      <alignment horizontal="left" vertical="justify"/>
    </xf>
    <xf numFmtId="0" fontId="8" fillId="0" borderId="13" xfId="0" applyFont="1" applyBorder="1" applyAlignment="1">
      <alignment horizontal="left" vertical="justify"/>
    </xf>
    <xf numFmtId="0" fontId="8" fillId="0" borderId="16" xfId="0" applyFont="1" applyBorder="1" applyAlignment="1">
      <alignment horizontal="left" vertical="justify"/>
    </xf>
    <xf numFmtId="0" fontId="14" fillId="0" borderId="4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5" xfId="0" applyFont="1" applyBorder="1" applyAlignment="1">
      <alignment horizontal="center"/>
    </xf>
    <xf numFmtId="164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4" fillId="5" borderId="61" xfId="0" applyFont="1" applyFill="1" applyBorder="1" applyAlignment="1">
      <alignment horizontal="center" vertical="center" wrapText="1"/>
    </xf>
    <xf numFmtId="0" fontId="4" fillId="5" borderId="41" xfId="0" applyFont="1" applyFill="1" applyBorder="1" applyAlignment="1">
      <alignment vertical="center" wrapText="1"/>
    </xf>
    <xf numFmtId="0" fontId="8" fillId="5" borderId="67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20" fillId="5" borderId="61" xfId="0" applyFont="1" applyFill="1" applyBorder="1" applyAlignment="1">
      <alignment horizontal="center" vertical="center" wrapText="1"/>
    </xf>
    <xf numFmtId="0" fontId="20" fillId="5" borderId="41" xfId="0" applyFont="1" applyFill="1" applyBorder="1" applyAlignment="1">
      <alignment vertical="center" wrapText="1"/>
    </xf>
    <xf numFmtId="0" fontId="4" fillId="5" borderId="62" xfId="0" applyFont="1" applyFill="1" applyBorder="1" applyAlignment="1">
      <alignment vertical="center" wrapText="1"/>
    </xf>
    <xf numFmtId="0" fontId="4" fillId="5" borderId="65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left" vertical="center"/>
    </xf>
    <xf numFmtId="0" fontId="20" fillId="5" borderId="14" xfId="0" applyFont="1" applyFill="1" applyBorder="1" applyAlignment="1">
      <alignment horizontal="left" vertical="center"/>
    </xf>
    <xf numFmtId="43" fontId="20" fillId="5" borderId="45" xfId="0" applyNumberFormat="1" applyFont="1" applyFill="1" applyBorder="1" applyAlignment="1">
      <alignment horizontal="left" vertical="center" wrapText="1"/>
    </xf>
    <xf numFmtId="0" fontId="20" fillId="5" borderId="10" xfId="0" applyFont="1" applyFill="1" applyBorder="1" applyAlignment="1">
      <alignment horizontal="left" vertical="center" wrapText="1"/>
    </xf>
    <xf numFmtId="0" fontId="20" fillId="5" borderId="11" xfId="0" applyFont="1" applyFill="1" applyBorder="1" applyAlignment="1">
      <alignment horizontal="left" vertical="center" wrapText="1"/>
    </xf>
    <xf numFmtId="0" fontId="20" fillId="5" borderId="9" xfId="0" applyFont="1" applyFill="1" applyBorder="1" applyAlignment="1">
      <alignment horizontal="left" vertical="center"/>
    </xf>
    <xf numFmtId="0" fontId="20" fillId="5" borderId="33" xfId="0" applyFont="1" applyFill="1" applyBorder="1" applyAlignment="1">
      <alignment horizontal="left" vertical="center"/>
    </xf>
    <xf numFmtId="0" fontId="20" fillId="5" borderId="45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center" vertical="center" wrapText="1"/>
    </xf>
    <xf numFmtId="0" fontId="20" fillId="5" borderId="33" xfId="0" applyFont="1" applyFill="1" applyBorder="1" applyAlignment="1">
      <alignment horizontal="center" vertical="center" wrapText="1"/>
    </xf>
    <xf numFmtId="0" fontId="20" fillId="5" borderId="45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/>
    </xf>
    <xf numFmtId="0" fontId="24" fillId="5" borderId="0" xfId="0" applyFont="1" applyFill="1" applyAlignment="1">
      <alignment horizontal="center"/>
    </xf>
    <xf numFmtId="0" fontId="24" fillId="5" borderId="5" xfId="0" applyFont="1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5" borderId="5" xfId="0" applyFill="1" applyBorder="1" applyAlignment="1">
      <alignment horizontal="center"/>
    </xf>
    <xf numFmtId="0" fontId="25" fillId="5" borderId="4" xfId="0" applyFont="1" applyFill="1" applyBorder="1" applyAlignment="1">
      <alignment horizontal="center"/>
    </xf>
    <xf numFmtId="0" fontId="25" fillId="5" borderId="0" xfId="0" applyFont="1" applyFill="1" applyAlignment="1">
      <alignment horizontal="center"/>
    </xf>
    <xf numFmtId="0" fontId="25" fillId="5" borderId="5" xfId="0" applyFont="1" applyFill="1" applyBorder="1" applyAlignment="1">
      <alignment horizontal="center"/>
    </xf>
    <xf numFmtId="164" fontId="4" fillId="5" borderId="4" xfId="0" applyNumberFormat="1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4" fillId="5" borderId="5" xfId="0" applyFont="1" applyFill="1" applyBorder="1" applyAlignment="1">
      <alignment horizontal="center"/>
    </xf>
  </cellXfs>
  <cellStyles count="5">
    <cellStyle name="Normal" xfId="0" builtinId="0"/>
    <cellStyle name="Normal 2 2" xfId="3" xr:uid="{C8DDC460-0ECE-40B6-B570-390B7CA996E5}"/>
    <cellStyle name="Normal 4" xfId="4" xr:uid="{16623B8F-D205-4486-979C-147732FFB9C9}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55245</xdr:colOff>
      <xdr:row>39</xdr:row>
      <xdr:rowOff>0</xdr:rowOff>
    </xdr:from>
    <xdr:ext cx="184731" cy="264560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556CCE12-3522-4D98-9B54-CC01365E6A59}"/>
            </a:ext>
          </a:extLst>
        </xdr:cNvPr>
        <xdr:cNvSpPr txBox="1"/>
      </xdr:nvSpPr>
      <xdr:spPr>
        <a:xfrm>
          <a:off x="6379845" y="6527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t-BR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amon\Desktop\Ramon%20(novo)\Prefeitura%20Ibertioga\2023\Oficina%20Mecanica\PLANILH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amon\Desktop\Ramon%20(novo)\Prefeitura%20Santa%20Rita%20de%20Ibitipoca\2023\MORROS%20RURAIS%20(CABRA)\MORRO_RURA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MEMÓRIA DE CÁLCULO"/>
      <sheetName val="COMPOSIÇÃO DO BDI"/>
      <sheetName val="CRONOGRAMA FÍSICO-FINANCEIRO"/>
    </sheetNames>
    <sheetDataSet>
      <sheetData sheetId="0"/>
      <sheetData sheetId="1"/>
      <sheetData sheetId="2">
        <row r="12">
          <cell r="H12">
            <v>0.29457594244604324</v>
          </cell>
        </row>
      </sheetData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"/>
      <sheetName val="PLANILHA ORÇAMENTÁRIA"/>
      <sheetName val="LEVANT. SERVIÇOS"/>
      <sheetName val="MEMÓRIA"/>
      <sheetName val="DEMONSTRATIVO DO BDI"/>
      <sheetName val="CRONOGRAMA FÍSICO-FINANCEIRO"/>
    </sheetNames>
    <sheetDataSet>
      <sheetData sheetId="0"/>
      <sheetData sheetId="1">
        <row r="15">
          <cell r="A15" t="str">
            <v>R. T. CLIFFORD PETERLE REZENDE - ENGº. CIVIL CREAMG Nº56.477/D.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F6739-17DF-4F96-8525-DA1054A7EA71}">
  <dimension ref="A2:P20"/>
  <sheetViews>
    <sheetView workbookViewId="0">
      <selection activeCell="C10" sqref="C10"/>
    </sheetView>
  </sheetViews>
  <sheetFormatPr defaultRowHeight="14.4" x14ac:dyDescent="0.3"/>
  <cols>
    <col min="1" max="1" width="10.44140625" customWidth="1"/>
    <col min="2" max="2" width="8.6640625" customWidth="1"/>
    <col min="3" max="3" width="59.44140625" customWidth="1"/>
    <col min="4" max="4" width="7" bestFit="1" customWidth="1"/>
    <col min="5" max="6" width="0" hidden="1" customWidth="1"/>
    <col min="7" max="7" width="8" customWidth="1"/>
    <col min="8" max="9" width="11.44140625" customWidth="1"/>
  </cols>
  <sheetData>
    <row r="2" spans="1:12" ht="15" thickBot="1" x14ac:dyDescent="0.35">
      <c r="C2" s="248" t="s">
        <v>145</v>
      </c>
    </row>
    <row r="3" spans="1:12" ht="22.5" customHeight="1" x14ac:dyDescent="0.3">
      <c r="A3" s="217" t="s">
        <v>32</v>
      </c>
      <c r="B3" s="218" t="s">
        <v>10</v>
      </c>
      <c r="C3" s="219" t="s">
        <v>11</v>
      </c>
      <c r="D3" s="220" t="s">
        <v>33</v>
      </c>
      <c r="E3" s="220"/>
      <c r="F3" s="220"/>
      <c r="G3" s="220" t="s">
        <v>34</v>
      </c>
      <c r="H3" s="221" t="s">
        <v>38</v>
      </c>
      <c r="I3" s="222" t="s">
        <v>37</v>
      </c>
    </row>
    <row r="4" spans="1:12" x14ac:dyDescent="0.3">
      <c r="A4" s="223" t="s">
        <v>35</v>
      </c>
      <c r="B4" s="224">
        <v>1</v>
      </c>
      <c r="C4" s="224" t="s">
        <v>122</v>
      </c>
      <c r="D4" s="236" t="s">
        <v>26</v>
      </c>
      <c r="E4" s="225" t="b">
        <f ca="1">IF($K4&gt;0,SUM(OFFSET(E4,1,0,$K4),0))</f>
        <v>0</v>
      </c>
      <c r="F4" s="225" t="b">
        <f ca="1">IF($K4&gt;0,SUM(OFFSET(F4,1,0,$K4),0))</f>
        <v>0</v>
      </c>
      <c r="G4" s="226"/>
      <c r="H4" s="227"/>
      <c r="I4" s="228">
        <f>SUM(I5:I7)</f>
        <v>2.5158900000000002</v>
      </c>
    </row>
    <row r="5" spans="1:12" ht="20.399999999999999" x14ac:dyDescent="0.3">
      <c r="A5" s="214" t="s">
        <v>22</v>
      </c>
      <c r="B5" s="58" t="s">
        <v>116</v>
      </c>
      <c r="C5" s="45" t="s">
        <v>119</v>
      </c>
      <c r="D5" s="53" t="s">
        <v>27</v>
      </c>
      <c r="E5" s="53">
        <f t="shared" ref="E5:F5" si="0">TRUNC($G5*ROUND(H5,2),2)</f>
        <v>1.23</v>
      </c>
      <c r="F5" s="53">
        <f t="shared" si="0"/>
        <v>0</v>
      </c>
      <c r="G5" s="54">
        <f>K5</f>
        <v>2.64E-3</v>
      </c>
      <c r="H5" s="55">
        <v>467.5</v>
      </c>
      <c r="I5" s="215">
        <f t="shared" ref="I5:I6" si="1">H5*G5</f>
        <v>1.2342</v>
      </c>
      <c r="K5">
        <f>0.03*0.08*1*1.1</f>
        <v>2.64E-3</v>
      </c>
    </row>
    <row r="6" spans="1:12" x14ac:dyDescent="0.3">
      <c r="A6" s="216" t="s">
        <v>22</v>
      </c>
      <c r="B6" s="58" t="s">
        <v>118</v>
      </c>
      <c r="C6" s="45" t="s">
        <v>117</v>
      </c>
      <c r="D6" s="53" t="s">
        <v>31</v>
      </c>
      <c r="E6" s="53"/>
      <c r="F6" s="53"/>
      <c r="G6" s="54">
        <f>0.0303</f>
        <v>3.0300000000000001E-2</v>
      </c>
      <c r="H6" s="55">
        <v>24.53</v>
      </c>
      <c r="I6" s="215">
        <f t="shared" si="1"/>
        <v>0.743259</v>
      </c>
      <c r="K6">
        <f>(0.454*0.002)/0.03</f>
        <v>3.0266666666666671E-2</v>
      </c>
      <c r="L6" t="s">
        <v>127</v>
      </c>
    </row>
    <row r="7" spans="1:12" ht="15" thickBot="1" x14ac:dyDescent="0.35">
      <c r="A7" s="216" t="s">
        <v>22</v>
      </c>
      <c r="B7" s="57" t="s">
        <v>29</v>
      </c>
      <c r="C7" s="45" t="s">
        <v>30</v>
      </c>
      <c r="D7" s="51" t="s">
        <v>31</v>
      </c>
      <c r="E7" s="51">
        <f t="shared" ref="E7" si="2">TRUNC($G7*ROUND(H7,2),2)</f>
        <v>0.53</v>
      </c>
      <c r="F7" s="51">
        <f t="shared" ref="F7" si="3">TRUNC($G7*ROUND(I7,2),2)</f>
        <v>0.01</v>
      </c>
      <c r="G7" s="54">
        <f>0.0303</f>
        <v>3.0300000000000001E-2</v>
      </c>
      <c r="H7" s="52">
        <v>17.77</v>
      </c>
      <c r="I7" s="215">
        <f t="shared" ref="I7" si="4">H7*G7</f>
        <v>0.53843099999999999</v>
      </c>
    </row>
    <row r="8" spans="1:12" ht="20.399999999999999" x14ac:dyDescent="0.3">
      <c r="A8" s="217" t="s">
        <v>32</v>
      </c>
      <c r="B8" s="218" t="s">
        <v>10</v>
      </c>
      <c r="C8" s="219" t="s">
        <v>11</v>
      </c>
      <c r="D8" s="220" t="s">
        <v>33</v>
      </c>
      <c r="E8" s="220"/>
      <c r="F8" s="220"/>
      <c r="G8" s="220" t="s">
        <v>34</v>
      </c>
      <c r="H8" s="221" t="s">
        <v>38</v>
      </c>
      <c r="I8" s="222" t="s">
        <v>37</v>
      </c>
    </row>
    <row r="9" spans="1:12" x14ac:dyDescent="0.3">
      <c r="A9" s="223" t="s">
        <v>35</v>
      </c>
      <c r="B9" s="224">
        <v>2</v>
      </c>
      <c r="C9" s="224" t="s">
        <v>140</v>
      </c>
      <c r="D9" s="236" t="s">
        <v>33</v>
      </c>
      <c r="E9" s="225" t="b">
        <f ca="1">IF($K9&gt;0,SUM(OFFSET(E9,1,0,$K9),0))</f>
        <v>0</v>
      </c>
      <c r="F9" s="225" t="b">
        <f ca="1">IF($K9&gt;0,SUM(OFFSET(F9,1,0,$K9),0))</f>
        <v>0</v>
      </c>
      <c r="G9" s="245"/>
      <c r="H9" s="227"/>
      <c r="I9" s="228">
        <f>SUM(I10:I12)</f>
        <v>1383.1397999999999</v>
      </c>
    </row>
    <row r="10" spans="1:12" ht="20.399999999999999" x14ac:dyDescent="0.3">
      <c r="A10" s="216" t="s">
        <v>19</v>
      </c>
      <c r="B10" s="243" t="s">
        <v>135</v>
      </c>
      <c r="C10" s="244" t="s">
        <v>136</v>
      </c>
      <c r="D10" s="51" t="s">
        <v>137</v>
      </c>
      <c r="E10" s="51"/>
      <c r="F10" s="51"/>
      <c r="G10" s="246">
        <f>ROUND('Memória de Cálculo'!E38,2)</f>
        <v>0.18</v>
      </c>
      <c r="H10" s="52">
        <v>7684.11</v>
      </c>
      <c r="I10" s="215">
        <f>G10*H10</f>
        <v>1383.1397999999999</v>
      </c>
    </row>
    <row r="11" spans="1:12" ht="15" thickBot="1" x14ac:dyDescent="0.35">
      <c r="A11" s="216"/>
      <c r="B11" s="247"/>
      <c r="C11" s="45"/>
      <c r="D11" s="51"/>
      <c r="E11" s="51"/>
      <c r="F11" s="51"/>
      <c r="G11" s="54"/>
      <c r="H11" s="52"/>
      <c r="I11" s="215"/>
    </row>
    <row r="12" spans="1:12" x14ac:dyDescent="0.3">
      <c r="A12" s="205"/>
      <c r="B12" s="206"/>
      <c r="C12" s="206"/>
      <c r="D12" s="206"/>
      <c r="E12" s="206"/>
      <c r="F12" s="206"/>
      <c r="G12" s="206"/>
      <c r="H12" s="206"/>
      <c r="I12" s="207"/>
    </row>
    <row r="13" spans="1:12" x14ac:dyDescent="0.3">
      <c r="A13" s="208"/>
      <c r="I13" s="209"/>
    </row>
    <row r="14" spans="1:12" x14ac:dyDescent="0.3">
      <c r="A14" s="208"/>
      <c r="C14" s="202" t="str">
        <f>'Planilha Orçamentária'!C44</f>
        <v>ENGENHEIRO</v>
      </c>
      <c r="G14" s="210" t="str">
        <f>'Planilha Orçamentária'!F44</f>
        <v xml:space="preserve">CREAMG Nº </v>
      </c>
      <c r="I14" s="209"/>
    </row>
    <row r="15" spans="1:12" x14ac:dyDescent="0.3">
      <c r="A15" s="208"/>
      <c r="C15" s="73" t="str">
        <f>'Planilha Orçamentária'!C45</f>
        <v>R.T EMPRESA</v>
      </c>
      <c r="I15" s="209"/>
    </row>
    <row r="16" spans="1:12" x14ac:dyDescent="0.3">
      <c r="A16" s="208"/>
      <c r="I16" s="209"/>
    </row>
    <row r="17" spans="1:16" x14ac:dyDescent="0.3">
      <c r="A17" s="208"/>
      <c r="I17" s="209"/>
      <c r="L17">
        <f>0.03*60</f>
        <v>1.7999999999999998</v>
      </c>
      <c r="N17">
        <f>0.1*0.3</f>
        <v>0.03</v>
      </c>
    </row>
    <row r="18" spans="1:16" x14ac:dyDescent="0.3">
      <c r="A18" s="208"/>
      <c r="I18" s="209"/>
      <c r="N18">
        <f>0.08*0.03</f>
        <v>2.3999999999999998E-3</v>
      </c>
      <c r="P18">
        <f>N18/N17</f>
        <v>0.08</v>
      </c>
    </row>
    <row r="19" spans="1:16" x14ac:dyDescent="0.3">
      <c r="A19" s="208"/>
      <c r="C19" s="202" t="str">
        <f>'Planilha Orçamentária'!C50</f>
        <v>EMPRESA</v>
      </c>
      <c r="I19" s="209"/>
      <c r="L19">
        <f>0.458*60</f>
        <v>27.48</v>
      </c>
    </row>
    <row r="20" spans="1:16" ht="15" thickBot="1" x14ac:dyDescent="0.35">
      <c r="A20" s="211"/>
      <c r="B20" s="212"/>
      <c r="C20" s="85" t="str">
        <f>'Planilha Orçamentária'!C51</f>
        <v>REPRESENTANTE EMPRESA</v>
      </c>
      <c r="D20" s="212"/>
      <c r="E20" s="212"/>
      <c r="F20" s="212"/>
      <c r="G20" s="212"/>
      <c r="H20" s="212"/>
      <c r="I20" s="213"/>
    </row>
  </sheetData>
  <pageMargins left="0.511811024" right="0.511811024" top="0.78740157499999996" bottom="0.78740157499999996" header="0.31496062000000002" footer="0.31496062000000002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D530E-FC26-4A50-A6D4-8BC1BF535C37}">
  <dimension ref="A1:L52"/>
  <sheetViews>
    <sheetView tabSelected="1" topLeftCell="A22" workbookViewId="0">
      <selection activeCell="I40" sqref="I40"/>
    </sheetView>
  </sheetViews>
  <sheetFormatPr defaultRowHeight="14.4" x14ac:dyDescent="0.3"/>
  <cols>
    <col min="1" max="1" width="5.44140625" bestFit="1" customWidth="1"/>
    <col min="2" max="2" width="10.88671875" bestFit="1" customWidth="1"/>
    <col min="3" max="3" width="11.88671875" customWidth="1"/>
    <col min="4" max="4" width="44.5546875" customWidth="1"/>
    <col min="5" max="5" width="7.109375" customWidth="1"/>
    <col min="6" max="6" width="15" customWidth="1"/>
    <col min="7" max="9" width="12.33203125" customWidth="1"/>
    <col min="11" max="11" width="9.5546875" bestFit="1" customWidth="1"/>
  </cols>
  <sheetData>
    <row r="1" spans="1:9" x14ac:dyDescent="0.3">
      <c r="A1" s="1"/>
      <c r="B1" s="2"/>
      <c r="C1" s="3"/>
      <c r="D1" s="2"/>
      <c r="E1" s="2"/>
      <c r="F1" s="4"/>
      <c r="G1" s="5"/>
      <c r="H1" s="6"/>
      <c r="I1" s="7"/>
    </row>
    <row r="2" spans="1:9" ht="21" x14ac:dyDescent="0.4">
      <c r="A2" s="268" t="s">
        <v>150</v>
      </c>
      <c r="B2" s="269"/>
      <c r="C2" s="269"/>
      <c r="D2" s="269"/>
      <c r="E2" s="269"/>
      <c r="F2" s="269"/>
      <c r="G2" s="269"/>
      <c r="H2" s="269"/>
      <c r="I2" s="270"/>
    </row>
    <row r="3" spans="1:9" x14ac:dyDescent="0.3">
      <c r="A3" s="271"/>
      <c r="B3" s="272"/>
      <c r="C3" s="272"/>
      <c r="D3" s="272"/>
      <c r="E3" s="272"/>
      <c r="F3" s="272"/>
      <c r="G3" s="272"/>
      <c r="H3" s="272"/>
      <c r="I3" s="273"/>
    </row>
    <row r="4" spans="1:9" x14ac:dyDescent="0.3">
      <c r="A4" s="274"/>
      <c r="B4" s="275"/>
      <c r="C4" s="275"/>
      <c r="D4" s="275"/>
      <c r="E4" s="275"/>
      <c r="F4" s="275"/>
      <c r="G4" s="275"/>
      <c r="H4" s="275"/>
      <c r="I4" s="276"/>
    </row>
    <row r="5" spans="1:9" x14ac:dyDescent="0.3">
      <c r="A5" s="274"/>
      <c r="B5" s="275"/>
      <c r="C5" s="275"/>
      <c r="D5" s="275"/>
      <c r="E5" s="275"/>
      <c r="F5" s="275"/>
      <c r="G5" s="275"/>
      <c r="H5" s="275"/>
      <c r="I5" s="276"/>
    </row>
    <row r="6" spans="1:9" ht="15" thickBot="1" x14ac:dyDescent="0.35">
      <c r="A6" s="277"/>
      <c r="B6" s="278"/>
      <c r="C6" s="278"/>
      <c r="D6" s="278"/>
      <c r="E6" s="278"/>
      <c r="F6" s="278"/>
      <c r="G6" s="278"/>
      <c r="H6" s="278"/>
      <c r="I6" s="279"/>
    </row>
    <row r="7" spans="1:9" ht="15" thickBot="1" x14ac:dyDescent="0.35">
      <c r="A7" s="8"/>
      <c r="B7" s="8"/>
      <c r="C7" s="9"/>
      <c r="D7" s="8"/>
      <c r="E7" s="8"/>
      <c r="F7" s="10"/>
      <c r="G7" s="11"/>
      <c r="H7" s="12"/>
      <c r="I7" s="12"/>
    </row>
    <row r="8" spans="1:9" ht="21.6" thickBot="1" x14ac:dyDescent="0.45">
      <c r="A8" s="280" t="s">
        <v>143</v>
      </c>
      <c r="B8" s="281"/>
      <c r="C8" s="281"/>
      <c r="D8" s="281"/>
      <c r="E8" s="281"/>
      <c r="F8" s="281"/>
      <c r="G8" s="281"/>
      <c r="H8" s="281"/>
      <c r="I8" s="282"/>
    </row>
    <row r="9" spans="1:9" ht="15" thickBot="1" x14ac:dyDescent="0.35">
      <c r="A9" s="283"/>
      <c r="B9" s="283"/>
      <c r="C9" s="283"/>
      <c r="D9" s="283"/>
      <c r="E9" s="283"/>
      <c r="F9" s="283"/>
      <c r="G9" s="283"/>
      <c r="H9" s="283"/>
      <c r="I9" s="283"/>
    </row>
    <row r="10" spans="1:9" x14ac:dyDescent="0.3">
      <c r="A10" s="284" t="s">
        <v>0</v>
      </c>
      <c r="B10" s="285"/>
      <c r="C10" s="285"/>
      <c r="D10" s="285"/>
      <c r="E10" s="285"/>
      <c r="F10" s="286"/>
      <c r="G10" s="94" t="s">
        <v>101</v>
      </c>
      <c r="H10" s="95"/>
      <c r="I10" s="96"/>
    </row>
    <row r="11" spans="1:9" x14ac:dyDescent="0.3">
      <c r="A11" s="287" t="s">
        <v>100</v>
      </c>
      <c r="B11" s="288"/>
      <c r="C11" s="288"/>
      <c r="D11" s="288"/>
      <c r="E11" s="288"/>
      <c r="F11" s="289"/>
      <c r="G11" s="13" t="s">
        <v>1</v>
      </c>
      <c r="H11" s="290"/>
      <c r="I11" s="291"/>
    </row>
    <row r="12" spans="1:9" ht="15" customHeight="1" x14ac:dyDescent="0.3">
      <c r="A12" s="240" t="s">
        <v>99</v>
      </c>
      <c r="B12" s="241"/>
      <c r="C12" s="241"/>
      <c r="D12" s="241"/>
      <c r="E12" s="241"/>
      <c r="F12" s="242"/>
      <c r="G12" s="266" t="s">
        <v>144</v>
      </c>
      <c r="H12" s="267"/>
      <c r="I12" s="14"/>
    </row>
    <row r="13" spans="1:9" x14ac:dyDescent="0.3">
      <c r="A13" s="296" t="s">
        <v>40</v>
      </c>
      <c r="B13" s="297"/>
      <c r="C13" s="297"/>
      <c r="D13" s="297"/>
      <c r="E13" s="298"/>
      <c r="F13" s="299" t="s">
        <v>2</v>
      </c>
      <c r="G13" s="300"/>
      <c r="H13" s="300"/>
      <c r="I13" s="301"/>
    </row>
    <row r="14" spans="1:9" x14ac:dyDescent="0.3">
      <c r="A14" s="296"/>
      <c r="B14" s="297"/>
      <c r="C14" s="297"/>
      <c r="D14" s="297"/>
      <c r="E14" s="298"/>
      <c r="F14" s="302" t="s">
        <v>3</v>
      </c>
      <c r="G14" s="304" t="s">
        <v>4</v>
      </c>
      <c r="H14" s="15" t="s">
        <v>5</v>
      </c>
      <c r="I14" s="16" t="s">
        <v>6</v>
      </c>
    </row>
    <row r="15" spans="1:9" ht="15.75" customHeight="1" thickBot="1" x14ac:dyDescent="0.35">
      <c r="A15" s="306" t="s">
        <v>41</v>
      </c>
      <c r="B15" s="307"/>
      <c r="C15" s="307"/>
      <c r="D15" s="307"/>
      <c r="E15" s="308"/>
      <c r="F15" s="303"/>
      <c r="G15" s="305"/>
      <c r="H15" s="17" t="s">
        <v>7</v>
      </c>
      <c r="I15" s="18">
        <f>'Demonstrativo BDI'!H14</f>
        <v>0.29457594244604324</v>
      </c>
    </row>
    <row r="16" spans="1:9" ht="15" thickBot="1" x14ac:dyDescent="0.35">
      <c r="A16" s="295"/>
      <c r="B16" s="295"/>
      <c r="C16" s="295"/>
      <c r="D16" s="295"/>
      <c r="E16" s="295"/>
      <c r="F16" s="295"/>
      <c r="G16" s="295"/>
      <c r="H16" s="295"/>
      <c r="I16" s="295"/>
    </row>
    <row r="17" spans="1:11" ht="42" thickBot="1" x14ac:dyDescent="0.35">
      <c r="A17" s="19" t="s">
        <v>8</v>
      </c>
      <c r="B17" s="20" t="s">
        <v>9</v>
      </c>
      <c r="C17" s="21" t="s">
        <v>10</v>
      </c>
      <c r="D17" s="22" t="s">
        <v>11</v>
      </c>
      <c r="E17" s="22" t="s">
        <v>12</v>
      </c>
      <c r="F17" s="23" t="s">
        <v>13</v>
      </c>
      <c r="G17" s="24" t="s">
        <v>14</v>
      </c>
      <c r="H17" s="24" t="s">
        <v>15</v>
      </c>
      <c r="I17" s="25" t="s">
        <v>16</v>
      </c>
      <c r="K17">
        <f>38*0.05*0.3</f>
        <v>0.57000000000000006</v>
      </c>
    </row>
    <row r="18" spans="1:11" x14ac:dyDescent="0.3">
      <c r="A18" s="26"/>
      <c r="B18" s="27"/>
      <c r="C18" s="28"/>
      <c r="D18" s="29"/>
      <c r="E18" s="30"/>
      <c r="F18" s="31"/>
      <c r="G18" s="32"/>
      <c r="H18" s="32"/>
      <c r="I18" s="33"/>
      <c r="K18">
        <f>639*K17</f>
        <v>364.23</v>
      </c>
    </row>
    <row r="19" spans="1:11" x14ac:dyDescent="0.3">
      <c r="A19" s="34">
        <v>1</v>
      </c>
      <c r="B19" s="35"/>
      <c r="C19" s="36"/>
      <c r="D19" s="37" t="s">
        <v>17</v>
      </c>
      <c r="E19" s="38"/>
      <c r="F19" s="39"/>
      <c r="G19" s="40"/>
      <c r="H19" s="40"/>
      <c r="I19" s="41">
        <f>SUM(I21:I22)</f>
        <v>2146.9535999999998</v>
      </c>
    </row>
    <row r="20" spans="1:11" x14ac:dyDescent="0.3">
      <c r="A20" s="26"/>
      <c r="B20" s="27"/>
      <c r="C20" s="28"/>
      <c r="D20" s="29"/>
      <c r="E20" s="30"/>
      <c r="F20" s="31"/>
      <c r="G20" s="32"/>
      <c r="H20" s="32"/>
      <c r="I20" s="33"/>
    </row>
    <row r="21" spans="1:11" ht="71.400000000000006" x14ac:dyDescent="0.3">
      <c r="A21" s="42" t="s">
        <v>18</v>
      </c>
      <c r="B21" s="43" t="s">
        <v>19</v>
      </c>
      <c r="C21" s="44" t="s">
        <v>147</v>
      </c>
      <c r="D21" s="45" t="s">
        <v>146</v>
      </c>
      <c r="E21" s="46" t="s">
        <v>28</v>
      </c>
      <c r="F21" s="47">
        <v>1</v>
      </c>
      <c r="G21" s="48">
        <v>1390.32</v>
      </c>
      <c r="H21" s="49">
        <f>ROUND((1+$I$15)*G21,2)</f>
        <v>1799.87</v>
      </c>
      <c r="I21" s="50">
        <f>H21*F21</f>
        <v>1799.87</v>
      </c>
      <c r="K21">
        <f>0.5/100</f>
        <v>5.0000000000000001E-3</v>
      </c>
    </row>
    <row r="22" spans="1:11" ht="20.399999999999999" x14ac:dyDescent="0.3">
      <c r="A22" s="42" t="s">
        <v>131</v>
      </c>
      <c r="B22" s="43" t="s">
        <v>19</v>
      </c>
      <c r="C22" s="44" t="s">
        <v>129</v>
      </c>
      <c r="D22" s="45" t="s">
        <v>128</v>
      </c>
      <c r="E22" s="46" t="s">
        <v>130</v>
      </c>
      <c r="F22" s="47">
        <v>0.5</v>
      </c>
      <c r="G22" s="93">
        <v>69416.72</v>
      </c>
      <c r="H22" s="49" t="s">
        <v>132</v>
      </c>
      <c r="I22" s="50">
        <f>G22*0.005</f>
        <v>347.08359999999999</v>
      </c>
      <c r="K22" s="210">
        <f>0.005*G22</f>
        <v>347.08359999999999</v>
      </c>
    </row>
    <row r="24" spans="1:11" x14ac:dyDescent="0.3">
      <c r="A24" s="34">
        <v>2</v>
      </c>
      <c r="B24" s="35"/>
      <c r="C24" s="36"/>
      <c r="D24" s="37" t="s">
        <v>102</v>
      </c>
      <c r="E24" s="38"/>
      <c r="F24" s="39"/>
      <c r="G24" s="40"/>
      <c r="H24" s="40"/>
      <c r="I24" s="41">
        <f>SUM(I27:I29)</f>
        <v>47673.923500000004</v>
      </c>
    </row>
    <row r="26" spans="1:11" ht="20.399999999999999" x14ac:dyDescent="0.3">
      <c r="A26" s="42" t="s">
        <v>21</v>
      </c>
      <c r="B26" s="43" t="s">
        <v>22</v>
      </c>
      <c r="C26" s="44">
        <v>100576</v>
      </c>
      <c r="D26" s="45" t="s">
        <v>103</v>
      </c>
      <c r="E26" s="46" t="s">
        <v>20</v>
      </c>
      <c r="F26" s="292" t="s">
        <v>104</v>
      </c>
      <c r="G26" s="293"/>
      <c r="H26" s="293"/>
      <c r="I26" s="294"/>
    </row>
    <row r="27" spans="1:11" ht="20.399999999999999" x14ac:dyDescent="0.3">
      <c r="A27" s="42" t="s">
        <v>23</v>
      </c>
      <c r="B27" s="43" t="s">
        <v>22</v>
      </c>
      <c r="C27" s="44">
        <v>92394</v>
      </c>
      <c r="D27" s="45" t="s">
        <v>105</v>
      </c>
      <c r="E27" s="46" t="s">
        <v>20</v>
      </c>
      <c r="F27" s="47">
        <f>'Memória de Cálculo'!E27</f>
        <v>468.92</v>
      </c>
      <c r="G27" s="48">
        <v>73</v>
      </c>
      <c r="H27" s="49">
        <f t="shared" ref="H27:H34" si="0">ROUND((1+$I$15)*G27,2)</f>
        <v>94.5</v>
      </c>
      <c r="I27" s="50">
        <f t="shared" ref="I27:I34" si="1">H27*F27</f>
        <v>44312.94</v>
      </c>
    </row>
    <row r="28" spans="1:11" ht="20.399999999999999" x14ac:dyDescent="0.3">
      <c r="A28" s="42" t="s">
        <v>24</v>
      </c>
      <c r="B28" s="43" t="s">
        <v>22</v>
      </c>
      <c r="C28" s="44">
        <v>95877</v>
      </c>
      <c r="D28" s="45" t="s">
        <v>109</v>
      </c>
      <c r="E28" s="46" t="s">
        <v>110</v>
      </c>
      <c r="F28" s="47">
        <f>'Memória de Cálculo'!E28</f>
        <v>984.73</v>
      </c>
      <c r="G28" s="48">
        <v>1.65</v>
      </c>
      <c r="H28" s="49">
        <f t="shared" si="0"/>
        <v>2.14</v>
      </c>
      <c r="I28" s="50">
        <f t="shared" si="1"/>
        <v>2107.3222000000001</v>
      </c>
    </row>
    <row r="29" spans="1:11" ht="30.6" x14ac:dyDescent="0.3">
      <c r="A29" s="42" t="s">
        <v>25</v>
      </c>
      <c r="B29" s="43" t="s">
        <v>22</v>
      </c>
      <c r="C29" s="44">
        <v>95427</v>
      </c>
      <c r="D29" s="45" t="s">
        <v>111</v>
      </c>
      <c r="E29" s="46" t="s">
        <v>110</v>
      </c>
      <c r="F29" s="47">
        <f>'Memória de Cálculo'!E29</f>
        <v>1440.99</v>
      </c>
      <c r="G29" s="48">
        <v>0.67</v>
      </c>
      <c r="H29" s="49">
        <f t="shared" si="0"/>
        <v>0.87</v>
      </c>
      <c r="I29" s="50">
        <f>H29*F29</f>
        <v>1253.6613</v>
      </c>
    </row>
    <row r="30" spans="1:11" x14ac:dyDescent="0.3">
      <c r="A30" s="42"/>
      <c r="B30" s="43"/>
      <c r="C30" s="44"/>
      <c r="D30" s="45"/>
      <c r="E30" s="46"/>
      <c r="F30" s="47"/>
      <c r="G30" s="48"/>
      <c r="H30" s="49"/>
      <c r="I30" s="50"/>
    </row>
    <row r="31" spans="1:11" x14ac:dyDescent="0.3">
      <c r="A31" s="34">
        <v>3</v>
      </c>
      <c r="B31" s="35"/>
      <c r="C31" s="36"/>
      <c r="D31" s="37" t="s">
        <v>106</v>
      </c>
      <c r="E31" s="38"/>
      <c r="F31" s="39"/>
      <c r="G31" s="40"/>
      <c r="H31" s="40"/>
      <c r="I31" s="41">
        <f>SUM(I33:I34)</f>
        <v>18800.3004</v>
      </c>
    </row>
    <row r="32" spans="1:11" x14ac:dyDescent="0.3">
      <c r="A32" s="42"/>
      <c r="B32" s="43"/>
      <c r="C32" s="44"/>
      <c r="D32" s="45"/>
      <c r="E32" s="46"/>
      <c r="F32" s="47"/>
      <c r="G32" s="48"/>
      <c r="H32" s="49"/>
      <c r="I32" s="50"/>
    </row>
    <row r="33" spans="1:12" ht="51" x14ac:dyDescent="0.3">
      <c r="A33" s="42" t="s">
        <v>107</v>
      </c>
      <c r="B33" s="43" t="s">
        <v>22</v>
      </c>
      <c r="C33" s="44">
        <v>94275</v>
      </c>
      <c r="D33" s="92" t="s">
        <v>108</v>
      </c>
      <c r="E33" s="46" t="s">
        <v>26</v>
      </c>
      <c r="F33" s="47">
        <f>'Memória de Cálculo'!E33</f>
        <v>224.86</v>
      </c>
      <c r="G33" s="93">
        <v>62.22</v>
      </c>
      <c r="H33" s="49">
        <f t="shared" si="0"/>
        <v>80.55</v>
      </c>
      <c r="I33" s="50">
        <f t="shared" si="1"/>
        <v>18112.473000000002</v>
      </c>
      <c r="K33">
        <v>153.25</v>
      </c>
    </row>
    <row r="34" spans="1:12" ht="20.399999999999999" x14ac:dyDescent="0.3">
      <c r="A34" s="42" t="s">
        <v>112</v>
      </c>
      <c r="B34" s="43" t="s">
        <v>121</v>
      </c>
      <c r="C34" s="44" t="s">
        <v>120</v>
      </c>
      <c r="D34" s="45" t="s">
        <v>122</v>
      </c>
      <c r="E34" s="46" t="s">
        <v>26</v>
      </c>
      <c r="F34" s="47">
        <f>'Memória de Cálculo'!E34</f>
        <v>210.99</v>
      </c>
      <c r="G34" s="48">
        <f>Composição!I4</f>
        <v>2.5158900000000002</v>
      </c>
      <c r="H34" s="49">
        <f t="shared" si="0"/>
        <v>3.26</v>
      </c>
      <c r="I34" s="50">
        <f t="shared" si="1"/>
        <v>687.82740000000001</v>
      </c>
      <c r="K34">
        <f>204.39*0.03*0.08</f>
        <v>0.49053599999999997</v>
      </c>
      <c r="L34">
        <f>K34*Composição!H5</f>
        <v>229.32557999999997</v>
      </c>
    </row>
    <row r="35" spans="1:12" x14ac:dyDescent="0.3">
      <c r="A35" s="229"/>
      <c r="B35" s="230"/>
      <c r="C35" s="230"/>
      <c r="D35" s="231"/>
      <c r="E35" s="232"/>
      <c r="F35" s="233"/>
      <c r="G35" s="234"/>
      <c r="H35" s="234"/>
      <c r="I35" s="235"/>
    </row>
    <row r="36" spans="1:12" x14ac:dyDescent="0.3">
      <c r="A36" s="34">
        <v>4</v>
      </c>
      <c r="B36" s="35"/>
      <c r="C36" s="36"/>
      <c r="D36" s="37" t="s">
        <v>134</v>
      </c>
      <c r="E36" s="38"/>
      <c r="F36" s="39"/>
      <c r="G36" s="40"/>
      <c r="H36" s="40"/>
      <c r="I36" s="41">
        <f>I38</f>
        <v>1790.58</v>
      </c>
    </row>
    <row r="37" spans="1:12" x14ac:dyDescent="0.3">
      <c r="A37" s="229"/>
      <c r="B37" s="230"/>
      <c r="C37" s="230"/>
      <c r="D37" s="231"/>
      <c r="E37" s="232"/>
      <c r="F37" s="233"/>
      <c r="G37" s="234"/>
      <c r="H37" s="234"/>
      <c r="I37" s="235"/>
    </row>
    <row r="38" spans="1:12" ht="20.399999999999999" x14ac:dyDescent="0.3">
      <c r="A38" s="229" t="s">
        <v>138</v>
      </c>
      <c r="B38" s="230" t="s">
        <v>19</v>
      </c>
      <c r="C38" s="44" t="s">
        <v>135</v>
      </c>
      <c r="D38" s="45" t="s">
        <v>136</v>
      </c>
      <c r="E38" s="232" t="s">
        <v>139</v>
      </c>
      <c r="F38" s="233">
        <v>1</v>
      </c>
      <c r="G38" s="234">
        <f>Composição!I9</f>
        <v>1383.1397999999999</v>
      </c>
      <c r="H38" s="234">
        <f>ROUND((1+$I$15)*G38,2)</f>
        <v>1790.58</v>
      </c>
      <c r="I38" s="235">
        <f>H38*F38</f>
        <v>1790.58</v>
      </c>
      <c r="K38">
        <f>H38*100/I40</f>
        <v>2.5430127915781675</v>
      </c>
    </row>
    <row r="39" spans="1:12" ht="15" thickBot="1" x14ac:dyDescent="0.35">
      <c r="A39" s="229"/>
      <c r="B39" s="230"/>
      <c r="C39" s="230"/>
      <c r="D39" s="231"/>
      <c r="E39" s="232"/>
      <c r="F39" s="233"/>
      <c r="G39" s="234"/>
      <c r="H39" s="234"/>
      <c r="I39" s="235"/>
    </row>
    <row r="40" spans="1:12" ht="15" thickBot="1" x14ac:dyDescent="0.35">
      <c r="A40" s="260" t="s">
        <v>39</v>
      </c>
      <c r="B40" s="261"/>
      <c r="C40" s="261"/>
      <c r="D40" s="261"/>
      <c r="E40" s="261"/>
      <c r="F40" s="261"/>
      <c r="G40" s="261"/>
      <c r="H40" s="262"/>
      <c r="I40" s="59">
        <f>I19+I31+I24+I36</f>
        <v>70411.757500000007</v>
      </c>
      <c r="K40" s="210">
        <f>0.02*I40</f>
        <v>1408.2351500000002</v>
      </c>
    </row>
    <row r="41" spans="1:12" x14ac:dyDescent="0.3">
      <c r="A41" s="263"/>
      <c r="B41" s="264"/>
      <c r="C41" s="264"/>
      <c r="D41" s="264"/>
      <c r="E41" s="264"/>
      <c r="F41" s="264"/>
      <c r="G41" s="264"/>
      <c r="H41" s="264"/>
      <c r="I41" s="265"/>
    </row>
    <row r="42" spans="1:12" x14ac:dyDescent="0.3">
      <c r="A42" s="60"/>
      <c r="B42" s="61"/>
      <c r="C42" s="61"/>
      <c r="D42" s="61"/>
      <c r="E42" s="61"/>
      <c r="F42" s="61"/>
      <c r="G42" s="61"/>
      <c r="H42" s="61"/>
      <c r="I42" s="62"/>
    </row>
    <row r="43" spans="1:12" x14ac:dyDescent="0.3">
      <c r="A43" s="60"/>
      <c r="B43" s="61"/>
      <c r="C43" s="63"/>
      <c r="D43" s="63"/>
      <c r="E43" s="61"/>
      <c r="F43" s="64"/>
      <c r="G43" s="65"/>
      <c r="H43" s="66"/>
      <c r="I43" s="67"/>
    </row>
    <row r="44" spans="1:12" x14ac:dyDescent="0.3">
      <c r="A44" s="68"/>
      <c r="B44" s="69"/>
      <c r="C44" s="202" t="s">
        <v>151</v>
      </c>
      <c r="D44" s="202"/>
      <c r="E44" s="69"/>
      <c r="F44" s="70" t="s">
        <v>153</v>
      </c>
      <c r="G44" s="70"/>
      <c r="H44" s="70"/>
      <c r="I44" s="71"/>
    </row>
    <row r="45" spans="1:12" x14ac:dyDescent="0.3">
      <c r="A45" s="72"/>
      <c r="B45" s="73"/>
      <c r="C45" s="73" t="s">
        <v>152</v>
      </c>
      <c r="D45" s="73"/>
      <c r="E45" s="73"/>
      <c r="F45" s="258"/>
      <c r="G45" s="258"/>
      <c r="H45" s="258"/>
      <c r="I45" s="75"/>
    </row>
    <row r="46" spans="1:12" x14ac:dyDescent="0.3">
      <c r="A46" s="76"/>
      <c r="B46" s="8"/>
      <c r="C46" s="9"/>
      <c r="D46" s="8"/>
      <c r="E46" s="8"/>
      <c r="F46" s="77"/>
      <c r="G46" s="78"/>
      <c r="H46" s="79"/>
      <c r="I46" s="80"/>
    </row>
    <row r="47" spans="1:12" x14ac:dyDescent="0.3">
      <c r="A47" s="76"/>
      <c r="B47" s="8"/>
      <c r="C47" s="9"/>
      <c r="D47" s="8"/>
      <c r="E47" s="8"/>
      <c r="F47" s="77"/>
      <c r="G47" s="78"/>
      <c r="H47" s="79"/>
      <c r="I47" s="80"/>
    </row>
    <row r="48" spans="1:12" x14ac:dyDescent="0.3">
      <c r="A48" s="76"/>
      <c r="B48" s="8"/>
      <c r="C48" s="74"/>
      <c r="D48" s="74"/>
      <c r="E48" s="8"/>
      <c r="F48" s="77"/>
      <c r="G48" s="78"/>
      <c r="H48" s="79"/>
      <c r="I48" s="80"/>
    </row>
    <row r="49" spans="1:9" x14ac:dyDescent="0.3">
      <c r="A49" s="76"/>
      <c r="B49" s="8"/>
      <c r="C49" s="81"/>
      <c r="D49" s="82"/>
      <c r="E49" s="8"/>
      <c r="F49" s="77"/>
      <c r="G49" s="78"/>
      <c r="H49" s="79"/>
      <c r="I49" s="80"/>
    </row>
    <row r="50" spans="1:9" x14ac:dyDescent="0.3">
      <c r="A50" s="68"/>
      <c r="B50" s="69"/>
      <c r="C50" s="202" t="s">
        <v>154</v>
      </c>
      <c r="D50" s="202"/>
      <c r="E50" s="69"/>
      <c r="F50" s="258"/>
      <c r="G50" s="258"/>
      <c r="H50" s="83"/>
      <c r="I50" s="71"/>
    </row>
    <row r="51" spans="1:9" x14ac:dyDescent="0.3">
      <c r="A51" s="72"/>
      <c r="B51" s="73"/>
      <c r="C51" s="73" t="s">
        <v>155</v>
      </c>
      <c r="D51" s="73"/>
      <c r="E51" s="73"/>
      <c r="F51" s="259"/>
      <c r="G51" s="259"/>
      <c r="H51" s="83"/>
      <c r="I51" s="75"/>
    </row>
    <row r="52" spans="1:9" ht="15" thickBot="1" x14ac:dyDescent="0.35">
      <c r="A52" s="84"/>
      <c r="B52" s="85"/>
      <c r="C52" s="86"/>
      <c r="D52" s="86"/>
      <c r="E52" s="85"/>
      <c r="F52" s="87"/>
      <c r="G52" s="88"/>
      <c r="H52" s="89"/>
      <c r="I52" s="90"/>
    </row>
  </sheetData>
  <mergeCells count="24">
    <mergeCell ref="F26:I26"/>
    <mergeCell ref="A16:I16"/>
    <mergeCell ref="A13:E13"/>
    <mergeCell ref="F13:I13"/>
    <mergeCell ref="A14:E14"/>
    <mergeCell ref="F14:F15"/>
    <mergeCell ref="G14:G15"/>
    <mergeCell ref="A15:E15"/>
    <mergeCell ref="G12:H12"/>
    <mergeCell ref="A2:I2"/>
    <mergeCell ref="A3:I3"/>
    <mergeCell ref="A4:I4"/>
    <mergeCell ref="A5:I5"/>
    <mergeCell ref="A6:I6"/>
    <mergeCell ref="A8:I8"/>
    <mergeCell ref="A9:I9"/>
    <mergeCell ref="A10:F10"/>
    <mergeCell ref="A11:F11"/>
    <mergeCell ref="H11:I11"/>
    <mergeCell ref="F50:G50"/>
    <mergeCell ref="F51:G51"/>
    <mergeCell ref="A40:H40"/>
    <mergeCell ref="A41:I41"/>
    <mergeCell ref="F45:H45"/>
  </mergeCells>
  <phoneticPr fontId="11" type="noConversion"/>
  <pageMargins left="0.511811024" right="0.511811024" top="0.78740157499999996" bottom="0.78740157499999996" header="0.31496062000000002" footer="0.31496062000000002"/>
  <pageSetup paperSize="9" scale="70" orientation="portrait" horizontalDpi="360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33D86-CA42-41C4-A2A0-883D50E5ECAC}">
  <dimension ref="A1:M49"/>
  <sheetViews>
    <sheetView workbookViewId="0">
      <selection activeCell="A14" sqref="A14:D14"/>
    </sheetView>
  </sheetViews>
  <sheetFormatPr defaultRowHeight="14.4" x14ac:dyDescent="0.3"/>
  <cols>
    <col min="1" max="1" width="5.44140625" bestFit="1" customWidth="1"/>
    <col min="2" max="2" width="11.88671875" customWidth="1"/>
    <col min="3" max="3" width="44.5546875" customWidth="1"/>
    <col min="4" max="4" width="7.109375" customWidth="1"/>
    <col min="5" max="5" width="12" customWidth="1"/>
    <col min="6" max="8" width="12.33203125" customWidth="1"/>
  </cols>
  <sheetData>
    <row r="1" spans="1:8" x14ac:dyDescent="0.3">
      <c r="A1" s="1"/>
      <c r="B1" s="3"/>
      <c r="C1" s="2"/>
      <c r="D1" s="2"/>
      <c r="E1" s="4"/>
      <c r="F1" s="5"/>
      <c r="G1" s="6"/>
      <c r="H1" s="7"/>
    </row>
    <row r="2" spans="1:8" ht="21" x14ac:dyDescent="0.4">
      <c r="A2" s="268" t="s">
        <v>150</v>
      </c>
      <c r="B2" s="269"/>
      <c r="C2" s="269"/>
      <c r="D2" s="269"/>
      <c r="E2" s="269"/>
      <c r="F2" s="269"/>
      <c r="G2" s="269"/>
      <c r="H2" s="270"/>
    </row>
    <row r="3" spans="1:8" x14ac:dyDescent="0.3">
      <c r="A3" s="271"/>
      <c r="B3" s="272"/>
      <c r="C3" s="272"/>
      <c r="D3" s="272"/>
      <c r="E3" s="272"/>
      <c r="F3" s="272"/>
      <c r="G3" s="272"/>
      <c r="H3" s="273"/>
    </row>
    <row r="4" spans="1:8" x14ac:dyDescent="0.3">
      <c r="A4" s="274"/>
      <c r="B4" s="275"/>
      <c r="C4" s="275"/>
      <c r="D4" s="275"/>
      <c r="E4" s="275"/>
      <c r="F4" s="275"/>
      <c r="G4" s="275"/>
      <c r="H4" s="276"/>
    </row>
    <row r="5" spans="1:8" x14ac:dyDescent="0.3">
      <c r="A5" s="274"/>
      <c r="B5" s="275"/>
      <c r="C5" s="275"/>
      <c r="D5" s="275"/>
      <c r="E5" s="275"/>
      <c r="F5" s="275"/>
      <c r="G5" s="275"/>
      <c r="H5" s="276"/>
    </row>
    <row r="6" spans="1:8" ht="15" thickBot="1" x14ac:dyDescent="0.35">
      <c r="A6" s="277"/>
      <c r="B6" s="278"/>
      <c r="C6" s="278"/>
      <c r="D6" s="278"/>
      <c r="E6" s="278"/>
      <c r="F6" s="278"/>
      <c r="G6" s="278"/>
      <c r="H6" s="279"/>
    </row>
    <row r="7" spans="1:8" ht="15" thickBot="1" x14ac:dyDescent="0.35">
      <c r="A7" s="8"/>
      <c r="B7" s="9"/>
      <c r="C7" s="8"/>
      <c r="D7" s="8"/>
      <c r="E7" s="10"/>
      <c r="F7" s="11"/>
      <c r="G7" s="12"/>
      <c r="H7" s="12"/>
    </row>
    <row r="8" spans="1:8" ht="21.6" thickBot="1" x14ac:dyDescent="0.45">
      <c r="A8" s="280" t="s">
        <v>142</v>
      </c>
      <c r="B8" s="281"/>
      <c r="C8" s="281"/>
      <c r="D8" s="281"/>
      <c r="E8" s="281"/>
      <c r="F8" s="281"/>
      <c r="G8" s="281"/>
      <c r="H8" s="282"/>
    </row>
    <row r="9" spans="1:8" ht="15" thickBot="1" x14ac:dyDescent="0.35">
      <c r="A9" s="283"/>
      <c r="B9" s="283"/>
      <c r="C9" s="283"/>
      <c r="D9" s="283"/>
      <c r="E9" s="283"/>
      <c r="F9" s="283"/>
      <c r="G9" s="283"/>
      <c r="H9" s="283"/>
    </row>
    <row r="10" spans="1:8" x14ac:dyDescent="0.3">
      <c r="A10" s="284" t="s">
        <v>0</v>
      </c>
      <c r="B10" s="285"/>
      <c r="C10" s="285"/>
      <c r="D10" s="285"/>
      <c r="E10" s="286"/>
      <c r="F10" s="310" t="str">
        <f>'Planilha Orçamentária'!G10</f>
        <v>FONTE DE RECURSOS: ESTADUAL</v>
      </c>
      <c r="G10" s="311"/>
      <c r="H10" s="312"/>
    </row>
    <row r="11" spans="1:8" x14ac:dyDescent="0.3">
      <c r="A11" s="287" t="str">
        <f>'Planilha Orçamentária'!A11:F11</f>
        <v xml:space="preserve">OBJETO: PAVIMENTAÇÃO DE RUA EM BLOCOS INTERTRAVADOS </v>
      </c>
      <c r="B11" s="288"/>
      <c r="C11" s="288"/>
      <c r="D11" s="288"/>
      <c r="E11" s="289"/>
      <c r="F11" s="13" t="s">
        <v>1</v>
      </c>
      <c r="G11" s="290"/>
      <c r="H11" s="291"/>
    </row>
    <row r="12" spans="1:8" x14ac:dyDescent="0.3">
      <c r="A12" s="296" t="str">
        <f>'Planilha Orçamentária'!A12:F12</f>
        <v>LOCAL: COMUNIDADE DE CACHOEIRINHA, IBERTIOGA - MG</v>
      </c>
      <c r="B12" s="297"/>
      <c r="C12" s="297"/>
      <c r="D12" s="297"/>
      <c r="E12" s="298"/>
      <c r="F12" s="290" t="str">
        <f>'Planilha Orçamentária'!G12</f>
        <v>DATA: 19/07/2023</v>
      </c>
      <c r="G12" s="309"/>
      <c r="H12" s="14"/>
    </row>
    <row r="13" spans="1:8" x14ac:dyDescent="0.3">
      <c r="A13" s="296" t="str">
        <f>'Planilha Orçamentária'!A13:E13</f>
        <v>REFERÊNCIA: SEINFRA-MG  01/2023 e SINAPI 05/2023 AMBAS COM DESENOREÇÃO</v>
      </c>
      <c r="B13" s="297"/>
      <c r="C13" s="297"/>
      <c r="D13" s="298"/>
      <c r="E13" s="299" t="s">
        <v>2</v>
      </c>
      <c r="F13" s="300"/>
      <c r="G13" s="300"/>
      <c r="H13" s="301"/>
    </row>
    <row r="14" spans="1:8" x14ac:dyDescent="0.3">
      <c r="A14" s="296"/>
      <c r="B14" s="297"/>
      <c r="C14" s="297"/>
      <c r="D14" s="298"/>
      <c r="E14" s="302" t="s">
        <v>3</v>
      </c>
      <c r="F14" s="304" t="s">
        <v>4</v>
      </c>
      <c r="G14" s="15" t="s">
        <v>5</v>
      </c>
      <c r="H14" s="16" t="s">
        <v>6</v>
      </c>
    </row>
    <row r="15" spans="1:8" ht="15" thickBot="1" x14ac:dyDescent="0.35">
      <c r="A15" s="322" t="str">
        <f>'Planilha Orçamentária'!A15:E15</f>
        <v>PRAZO DE EXECUÇÃO: 02 (DOIS) MESES</v>
      </c>
      <c r="B15" s="323"/>
      <c r="C15" s="323"/>
      <c r="D15" s="324"/>
      <c r="E15" s="303"/>
      <c r="F15" s="305"/>
      <c r="G15" s="17" t="s">
        <v>7</v>
      </c>
      <c r="H15" s="18">
        <f>'[1]COMPOSIÇÃO DO BDI'!H12</f>
        <v>0.29457594244604324</v>
      </c>
    </row>
    <row r="16" spans="1:8" ht="15" thickBot="1" x14ac:dyDescent="0.35"/>
    <row r="17" spans="1:13" ht="39" customHeight="1" thickBot="1" x14ac:dyDescent="0.35">
      <c r="A17" s="19" t="s">
        <v>8</v>
      </c>
      <c r="B17" s="21" t="s">
        <v>10</v>
      </c>
      <c r="C17" s="22" t="s">
        <v>11</v>
      </c>
      <c r="D17" s="22" t="s">
        <v>12</v>
      </c>
      <c r="E17" s="23" t="s">
        <v>13</v>
      </c>
      <c r="F17" s="325" t="s">
        <v>36</v>
      </c>
      <c r="G17" s="326"/>
      <c r="H17" s="327"/>
    </row>
    <row r="18" spans="1:13" x14ac:dyDescent="0.3">
      <c r="A18" s="26"/>
      <c r="B18" s="28"/>
      <c r="C18" s="29"/>
      <c r="D18" s="30"/>
      <c r="E18" s="31"/>
      <c r="F18" s="32"/>
      <c r="G18" s="32"/>
      <c r="H18" s="33"/>
    </row>
    <row r="19" spans="1:13" x14ac:dyDescent="0.3">
      <c r="A19" s="34">
        <v>1</v>
      </c>
      <c r="B19" s="36"/>
      <c r="C19" s="37" t="s">
        <v>17</v>
      </c>
      <c r="D19" s="38"/>
      <c r="E19" s="39"/>
      <c r="F19" s="40"/>
      <c r="G19" s="40"/>
      <c r="H19" s="41">
        <f>SUM(H21:H25)</f>
        <v>0</v>
      </c>
    </row>
    <row r="20" spans="1:13" x14ac:dyDescent="0.3">
      <c r="A20" s="26"/>
      <c r="B20" s="28"/>
      <c r="C20" s="29"/>
      <c r="D20" s="30"/>
      <c r="E20" s="31"/>
      <c r="F20" s="32"/>
      <c r="G20" s="32"/>
      <c r="H20" s="33"/>
    </row>
    <row r="21" spans="1:13" ht="71.400000000000006" x14ac:dyDescent="0.3">
      <c r="A21" s="42" t="s">
        <v>18</v>
      </c>
      <c r="B21" s="44" t="s">
        <v>147</v>
      </c>
      <c r="C21" s="45" t="s">
        <v>146</v>
      </c>
      <c r="D21" s="46" t="s">
        <v>28</v>
      </c>
      <c r="E21" s="56">
        <v>1</v>
      </c>
      <c r="F21" s="316" t="s">
        <v>148</v>
      </c>
      <c r="G21" s="317"/>
      <c r="H21" s="318"/>
      <c r="J21">
        <f>3*1.2</f>
        <v>3.5999999999999996</v>
      </c>
      <c r="L21" t="s">
        <v>42</v>
      </c>
    </row>
    <row r="22" spans="1:13" ht="20.399999999999999" x14ac:dyDescent="0.3">
      <c r="A22" s="42" t="s">
        <v>131</v>
      </c>
      <c r="B22" s="44" t="s">
        <v>129</v>
      </c>
      <c r="C22" s="45" t="s">
        <v>128</v>
      </c>
      <c r="D22" s="46" t="s">
        <v>130</v>
      </c>
      <c r="E22" s="56">
        <v>0.5</v>
      </c>
      <c r="F22" s="316" t="s">
        <v>133</v>
      </c>
      <c r="G22" s="317"/>
      <c r="H22" s="318"/>
    </row>
    <row r="24" spans="1:13" x14ac:dyDescent="0.3">
      <c r="A24" s="34">
        <v>2</v>
      </c>
      <c r="B24" s="36"/>
      <c r="C24" s="37" t="s">
        <v>102</v>
      </c>
      <c r="D24" s="38"/>
      <c r="E24" s="39"/>
      <c r="F24" s="40"/>
      <c r="G24" s="40"/>
      <c r="H24" s="41">
        <f>SUM(H26:H30)</f>
        <v>0</v>
      </c>
    </row>
    <row r="26" spans="1:13" ht="42.75" customHeight="1" x14ac:dyDescent="0.3">
      <c r="A26" s="42" t="s">
        <v>21</v>
      </c>
      <c r="B26" s="44">
        <v>100576</v>
      </c>
      <c r="C26" s="45" t="s">
        <v>103</v>
      </c>
      <c r="D26" s="46" t="s">
        <v>20</v>
      </c>
      <c r="E26" s="56"/>
      <c r="F26" s="313" t="s">
        <v>113</v>
      </c>
      <c r="G26" s="314"/>
      <c r="H26" s="315"/>
      <c r="K26">
        <v>-20</v>
      </c>
      <c r="L26" s="91"/>
      <c r="M26" t="s">
        <v>124</v>
      </c>
    </row>
    <row r="27" spans="1:13" ht="20.399999999999999" x14ac:dyDescent="0.3">
      <c r="A27" s="42" t="s">
        <v>23</v>
      </c>
      <c r="B27" s="44">
        <v>92394</v>
      </c>
      <c r="C27" s="45" t="s">
        <v>105</v>
      </c>
      <c r="D27" s="46" t="s">
        <v>20</v>
      </c>
      <c r="E27" s="56">
        <f>ROUND(J27,2)</f>
        <v>468.92</v>
      </c>
      <c r="F27" s="319" t="s">
        <v>126</v>
      </c>
      <c r="G27" s="320"/>
      <c r="H27" s="321"/>
      <c r="J27">
        <v>468.92</v>
      </c>
      <c r="K27">
        <v>418</v>
      </c>
      <c r="M27">
        <v>502.28</v>
      </c>
    </row>
    <row r="28" spans="1:13" ht="20.399999999999999" x14ac:dyDescent="0.3">
      <c r="A28" s="42" t="s">
        <v>24</v>
      </c>
      <c r="B28" s="44">
        <v>95877</v>
      </c>
      <c r="C28" s="45" t="s">
        <v>109</v>
      </c>
      <c r="D28" s="46" t="s">
        <v>110</v>
      </c>
      <c r="E28" s="56">
        <f t="shared" ref="E28:E29" si="0">ROUND(J28,2)</f>
        <v>984.73</v>
      </c>
      <c r="F28" s="313" t="s">
        <v>123</v>
      </c>
      <c r="G28" s="314"/>
      <c r="H28" s="315"/>
      <c r="J28">
        <f>J27*0.07*30</f>
        <v>984.73200000000008</v>
      </c>
      <c r="K28">
        <f t="shared" ref="K28:M28" si="1">K27*0.07*30</f>
        <v>877.80000000000007</v>
      </c>
      <c r="M28">
        <f t="shared" si="1"/>
        <v>1054.7880000000002</v>
      </c>
    </row>
    <row r="29" spans="1:13" ht="33.75" customHeight="1" x14ac:dyDescent="0.3">
      <c r="A29" s="42" t="s">
        <v>25</v>
      </c>
      <c r="B29" s="44">
        <v>95427</v>
      </c>
      <c r="C29" s="45" t="s">
        <v>111</v>
      </c>
      <c r="D29" s="46" t="s">
        <v>110</v>
      </c>
      <c r="E29" s="56">
        <f t="shared" si="0"/>
        <v>1440.99</v>
      </c>
      <c r="F29" s="313" t="s">
        <v>115</v>
      </c>
      <c r="G29" s="314"/>
      <c r="H29" s="315"/>
      <c r="J29">
        <f>J27*0.07*(73.9-30)</f>
        <v>1440.9911600000003</v>
      </c>
      <c r="K29">
        <f t="shared" ref="K29:M29" si="2">K27*0.07*(73.9-30)</f>
        <v>1284.5140000000001</v>
      </c>
      <c r="M29">
        <f t="shared" si="2"/>
        <v>1543.5064400000003</v>
      </c>
    </row>
    <row r="30" spans="1:13" x14ac:dyDescent="0.3">
      <c r="A30" s="42"/>
      <c r="B30" s="44"/>
      <c r="C30" s="45"/>
      <c r="D30" s="46"/>
      <c r="E30" s="56"/>
      <c r="F30" s="313"/>
      <c r="G30" s="314"/>
      <c r="H30" s="315"/>
    </row>
    <row r="31" spans="1:13" x14ac:dyDescent="0.3">
      <c r="A31" s="34">
        <v>3</v>
      </c>
      <c r="B31" s="36"/>
      <c r="C31" s="37" t="s">
        <v>106</v>
      </c>
      <c r="D31" s="38"/>
      <c r="E31" s="39"/>
      <c r="F31" s="40"/>
      <c r="G31" s="40"/>
      <c r="H31" s="41">
        <f>SUM(H34:H41)</f>
        <v>0</v>
      </c>
    </row>
    <row r="32" spans="1:13" x14ac:dyDescent="0.3">
      <c r="A32" s="42"/>
      <c r="B32" s="44"/>
      <c r="C32" s="45"/>
      <c r="D32" s="46"/>
      <c r="E32" s="56"/>
      <c r="F32" s="313"/>
      <c r="G32" s="314"/>
      <c r="H32" s="315"/>
    </row>
    <row r="33" spans="1:13" ht="51" x14ac:dyDescent="0.3">
      <c r="A33" s="42" t="s">
        <v>107</v>
      </c>
      <c r="B33" s="44">
        <v>94275</v>
      </c>
      <c r="C33" s="92" t="s">
        <v>108</v>
      </c>
      <c r="D33" s="46" t="s">
        <v>28</v>
      </c>
      <c r="E33" s="56">
        <f>ROUND(J33,2)</f>
        <v>224.86</v>
      </c>
      <c r="F33" s="319" t="s">
        <v>125</v>
      </c>
      <c r="G33" s="320"/>
      <c r="H33" s="321"/>
      <c r="J33">
        <v>224.86</v>
      </c>
      <c r="K33">
        <v>231</v>
      </c>
      <c r="M33">
        <v>244.98</v>
      </c>
    </row>
    <row r="34" spans="1:13" ht="20.399999999999999" x14ac:dyDescent="0.3">
      <c r="A34" s="42" t="s">
        <v>112</v>
      </c>
      <c r="B34" s="44" t="s">
        <v>120</v>
      </c>
      <c r="C34" s="45" t="s">
        <v>122</v>
      </c>
      <c r="D34" s="46" t="s">
        <v>26</v>
      </c>
      <c r="E34" s="56">
        <f>ROUND(J34,2)</f>
        <v>210.99</v>
      </c>
      <c r="F34" s="313" t="s">
        <v>114</v>
      </c>
      <c r="G34" s="314"/>
      <c r="H34" s="315"/>
      <c r="J34">
        <f>J33-(9.42+1.45+3)</f>
        <v>210.99</v>
      </c>
      <c r="K34">
        <f>K33-(9.42+1.45+3)</f>
        <v>217.13</v>
      </c>
      <c r="M34">
        <f t="shared" ref="M34" si="3">M33-(9.42+1.45+3)</f>
        <v>231.10999999999999</v>
      </c>
    </row>
    <row r="35" spans="1:13" x14ac:dyDescent="0.3">
      <c r="A35" s="42"/>
      <c r="B35" s="44"/>
      <c r="C35" s="45"/>
      <c r="D35" s="46"/>
      <c r="E35" s="56"/>
      <c r="F35" s="237"/>
      <c r="G35" s="238"/>
      <c r="H35" s="239"/>
    </row>
    <row r="36" spans="1:13" x14ac:dyDescent="0.3">
      <c r="A36" s="34">
        <v>4</v>
      </c>
      <c r="B36" s="36"/>
      <c r="C36" s="37" t="s">
        <v>134</v>
      </c>
      <c r="D36" s="38"/>
      <c r="E36" s="39"/>
      <c r="F36" s="40"/>
      <c r="G36" s="40"/>
      <c r="H36" s="41">
        <f>SUM(H41:H46)</f>
        <v>0</v>
      </c>
    </row>
    <row r="37" spans="1:13" x14ac:dyDescent="0.3">
      <c r="A37" s="42"/>
      <c r="B37" s="44"/>
      <c r="C37" s="45"/>
      <c r="D37" s="46"/>
      <c r="E37" s="56"/>
      <c r="F37" s="313"/>
      <c r="G37" s="314"/>
      <c r="H37" s="315"/>
    </row>
    <row r="38" spans="1:13" ht="42" customHeight="1" x14ac:dyDescent="0.3">
      <c r="A38" s="42" t="s">
        <v>138</v>
      </c>
      <c r="B38" s="44" t="s">
        <v>135</v>
      </c>
      <c r="C38" s="45" t="s">
        <v>136</v>
      </c>
      <c r="D38" s="46" t="s">
        <v>137</v>
      </c>
      <c r="E38" s="56">
        <f>0.18</f>
        <v>0.18</v>
      </c>
      <c r="F38" s="313" t="s">
        <v>141</v>
      </c>
      <c r="G38" s="314"/>
      <c r="H38" s="315"/>
      <c r="J38">
        <f>2*4*5/220</f>
        <v>0.18181818181818182</v>
      </c>
    </row>
    <row r="39" spans="1:13" ht="15" thickBot="1" x14ac:dyDescent="0.35">
      <c r="A39" s="42"/>
      <c r="B39" s="44"/>
      <c r="C39" s="45"/>
      <c r="D39" s="46"/>
      <c r="E39" s="56"/>
      <c r="F39" s="313"/>
      <c r="G39" s="314"/>
      <c r="H39" s="315"/>
    </row>
    <row r="40" spans="1:13" x14ac:dyDescent="0.3">
      <c r="A40" s="205"/>
      <c r="B40" s="206"/>
      <c r="C40" s="206"/>
      <c r="D40" s="206"/>
      <c r="E40" s="206"/>
      <c r="F40" s="206"/>
      <c r="G40" s="206"/>
      <c r="H40" s="207"/>
    </row>
    <row r="41" spans="1:13" x14ac:dyDescent="0.3">
      <c r="A41" s="208"/>
      <c r="H41" s="209"/>
    </row>
    <row r="42" spans="1:13" x14ac:dyDescent="0.3">
      <c r="A42" s="208"/>
      <c r="C42" s="202" t="str">
        <f>'Planilha Orçamentária'!$C$44</f>
        <v>ENGENHEIRO</v>
      </c>
      <c r="E42" s="210" t="str">
        <f>'Planilha Orçamentária'!F44</f>
        <v xml:space="preserve">CREAMG Nº </v>
      </c>
      <c r="H42" s="209"/>
    </row>
    <row r="43" spans="1:13" x14ac:dyDescent="0.3">
      <c r="A43" s="208"/>
      <c r="C43" s="73" t="str">
        <f>'Planilha Orçamentária'!C45</f>
        <v>R.T EMPRESA</v>
      </c>
      <c r="H43" s="209"/>
    </row>
    <row r="44" spans="1:13" x14ac:dyDescent="0.3">
      <c r="A44" s="208"/>
      <c r="H44" s="209"/>
    </row>
    <row r="45" spans="1:13" x14ac:dyDescent="0.3">
      <c r="A45" s="208"/>
      <c r="H45" s="209"/>
    </row>
    <row r="46" spans="1:13" x14ac:dyDescent="0.3">
      <c r="A46" s="208"/>
      <c r="H46" s="209"/>
    </row>
    <row r="47" spans="1:13" x14ac:dyDescent="0.3">
      <c r="A47" s="208"/>
      <c r="H47" s="209"/>
    </row>
    <row r="48" spans="1:13" x14ac:dyDescent="0.3">
      <c r="A48" s="208"/>
      <c r="C48" s="202" t="str">
        <f>'Planilha Orçamentária'!C50</f>
        <v>EMPRESA</v>
      </c>
      <c r="H48" s="209"/>
    </row>
    <row r="49" spans="1:8" ht="15" thickBot="1" x14ac:dyDescent="0.35">
      <c r="A49" s="211"/>
      <c r="B49" s="212"/>
      <c r="C49" s="85" t="str">
        <f>'Planilha Orçamentária'!C51</f>
        <v>REPRESENTANTE EMPRESA</v>
      </c>
      <c r="D49" s="212"/>
      <c r="E49" s="212"/>
      <c r="F49" s="212"/>
      <c r="G49" s="212"/>
      <c r="H49" s="213"/>
    </row>
  </sheetData>
  <mergeCells count="33">
    <mergeCell ref="F38:H38"/>
    <mergeCell ref="F39:H39"/>
    <mergeCell ref="F32:H32"/>
    <mergeCell ref="F33:H33"/>
    <mergeCell ref="F34:H34"/>
    <mergeCell ref="F37:H37"/>
    <mergeCell ref="F30:H30"/>
    <mergeCell ref="F21:H21"/>
    <mergeCell ref="F26:H26"/>
    <mergeCell ref="F27:H27"/>
    <mergeCell ref="A13:D13"/>
    <mergeCell ref="E13:H13"/>
    <mergeCell ref="A14:D14"/>
    <mergeCell ref="E14:E15"/>
    <mergeCell ref="F14:F15"/>
    <mergeCell ref="A15:D15"/>
    <mergeCell ref="F22:H22"/>
    <mergeCell ref="F29:H29"/>
    <mergeCell ref="F28:H28"/>
    <mergeCell ref="F17:H17"/>
    <mergeCell ref="A12:E12"/>
    <mergeCell ref="F12:G12"/>
    <mergeCell ref="A2:H2"/>
    <mergeCell ref="A3:H3"/>
    <mergeCell ref="A4:H4"/>
    <mergeCell ref="A5:H5"/>
    <mergeCell ref="A6:H6"/>
    <mergeCell ref="A8:H8"/>
    <mergeCell ref="A9:H9"/>
    <mergeCell ref="A10:E10"/>
    <mergeCell ref="F10:H10"/>
    <mergeCell ref="A11:E11"/>
    <mergeCell ref="G11:H11"/>
  </mergeCells>
  <phoneticPr fontId="11" type="noConversion"/>
  <pageMargins left="0.511811024" right="0.511811024" top="0.78740157499999996" bottom="0.78740157499999996" header="0.31496062000000002" footer="0.31496062000000002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CD13C-79FC-4431-B6E8-0D56B27A401B}">
  <dimension ref="A1:K61"/>
  <sheetViews>
    <sheetView topLeftCell="A46" workbookViewId="0">
      <selection activeCell="C56" sqref="C56"/>
    </sheetView>
  </sheetViews>
  <sheetFormatPr defaultColWidth="8.88671875" defaultRowHeight="13.8" x14ac:dyDescent="0.3"/>
  <cols>
    <col min="1" max="1" width="32.33203125" style="98" customWidth="1"/>
    <col min="2" max="2" width="20.33203125" style="98" customWidth="1"/>
    <col min="3" max="3" width="21" style="98" customWidth="1"/>
    <col min="4" max="4" width="19.88671875" style="98" customWidth="1"/>
    <col min="5" max="5" width="11.6640625" style="98" customWidth="1"/>
    <col min="6" max="6" width="6.6640625" style="98" customWidth="1"/>
    <col min="7" max="7" width="8.109375" style="98" customWidth="1"/>
    <col min="8" max="8" width="14" style="98" customWidth="1"/>
    <col min="9" max="256" width="8.88671875" style="108"/>
    <col min="257" max="257" width="32.33203125" style="108" customWidth="1"/>
    <col min="258" max="258" width="20.33203125" style="108" customWidth="1"/>
    <col min="259" max="259" width="21" style="108" customWidth="1"/>
    <col min="260" max="260" width="19.88671875" style="108" customWidth="1"/>
    <col min="261" max="261" width="11.6640625" style="108" customWidth="1"/>
    <col min="262" max="262" width="6.6640625" style="108" customWidth="1"/>
    <col min="263" max="263" width="8.109375" style="108" customWidth="1"/>
    <col min="264" max="264" width="14" style="108" customWidth="1"/>
    <col min="265" max="512" width="8.88671875" style="108"/>
    <col min="513" max="513" width="32.33203125" style="108" customWidth="1"/>
    <col min="514" max="514" width="20.33203125" style="108" customWidth="1"/>
    <col min="515" max="515" width="21" style="108" customWidth="1"/>
    <col min="516" max="516" width="19.88671875" style="108" customWidth="1"/>
    <col min="517" max="517" width="11.6640625" style="108" customWidth="1"/>
    <col min="518" max="518" width="6.6640625" style="108" customWidth="1"/>
    <col min="519" max="519" width="8.109375" style="108" customWidth="1"/>
    <col min="520" max="520" width="14" style="108" customWidth="1"/>
    <col min="521" max="768" width="8.88671875" style="108"/>
    <col min="769" max="769" width="32.33203125" style="108" customWidth="1"/>
    <col min="770" max="770" width="20.33203125" style="108" customWidth="1"/>
    <col min="771" max="771" width="21" style="108" customWidth="1"/>
    <col min="772" max="772" width="19.88671875" style="108" customWidth="1"/>
    <col min="773" max="773" width="11.6640625" style="108" customWidth="1"/>
    <col min="774" max="774" width="6.6640625" style="108" customWidth="1"/>
    <col min="775" max="775" width="8.109375" style="108" customWidth="1"/>
    <col min="776" max="776" width="14" style="108" customWidth="1"/>
    <col min="777" max="1024" width="8.88671875" style="108"/>
    <col min="1025" max="1025" width="32.33203125" style="108" customWidth="1"/>
    <col min="1026" max="1026" width="20.33203125" style="108" customWidth="1"/>
    <col min="1027" max="1027" width="21" style="108" customWidth="1"/>
    <col min="1028" max="1028" width="19.88671875" style="108" customWidth="1"/>
    <col min="1029" max="1029" width="11.6640625" style="108" customWidth="1"/>
    <col min="1030" max="1030" width="6.6640625" style="108" customWidth="1"/>
    <col min="1031" max="1031" width="8.109375" style="108" customWidth="1"/>
    <col min="1032" max="1032" width="14" style="108" customWidth="1"/>
    <col min="1033" max="1280" width="8.88671875" style="108"/>
    <col min="1281" max="1281" width="32.33203125" style="108" customWidth="1"/>
    <col min="1282" max="1282" width="20.33203125" style="108" customWidth="1"/>
    <col min="1283" max="1283" width="21" style="108" customWidth="1"/>
    <col min="1284" max="1284" width="19.88671875" style="108" customWidth="1"/>
    <col min="1285" max="1285" width="11.6640625" style="108" customWidth="1"/>
    <col min="1286" max="1286" width="6.6640625" style="108" customWidth="1"/>
    <col min="1287" max="1287" width="8.109375" style="108" customWidth="1"/>
    <col min="1288" max="1288" width="14" style="108" customWidth="1"/>
    <col min="1289" max="1536" width="8.88671875" style="108"/>
    <col min="1537" max="1537" width="32.33203125" style="108" customWidth="1"/>
    <col min="1538" max="1538" width="20.33203125" style="108" customWidth="1"/>
    <col min="1539" max="1539" width="21" style="108" customWidth="1"/>
    <col min="1540" max="1540" width="19.88671875" style="108" customWidth="1"/>
    <col min="1541" max="1541" width="11.6640625" style="108" customWidth="1"/>
    <col min="1542" max="1542" width="6.6640625" style="108" customWidth="1"/>
    <col min="1543" max="1543" width="8.109375" style="108" customWidth="1"/>
    <col min="1544" max="1544" width="14" style="108" customWidth="1"/>
    <col min="1545" max="1792" width="8.88671875" style="108"/>
    <col min="1793" max="1793" width="32.33203125" style="108" customWidth="1"/>
    <col min="1794" max="1794" width="20.33203125" style="108" customWidth="1"/>
    <col min="1795" max="1795" width="21" style="108" customWidth="1"/>
    <col min="1796" max="1796" width="19.88671875" style="108" customWidth="1"/>
    <col min="1797" max="1797" width="11.6640625" style="108" customWidth="1"/>
    <col min="1798" max="1798" width="6.6640625" style="108" customWidth="1"/>
    <col min="1799" max="1799" width="8.109375" style="108" customWidth="1"/>
    <col min="1800" max="1800" width="14" style="108" customWidth="1"/>
    <col min="1801" max="2048" width="8.88671875" style="108"/>
    <col min="2049" max="2049" width="32.33203125" style="108" customWidth="1"/>
    <col min="2050" max="2050" width="20.33203125" style="108" customWidth="1"/>
    <col min="2051" max="2051" width="21" style="108" customWidth="1"/>
    <col min="2052" max="2052" width="19.88671875" style="108" customWidth="1"/>
    <col min="2053" max="2053" width="11.6640625" style="108" customWidth="1"/>
    <col min="2054" max="2054" width="6.6640625" style="108" customWidth="1"/>
    <col min="2055" max="2055" width="8.109375" style="108" customWidth="1"/>
    <col min="2056" max="2056" width="14" style="108" customWidth="1"/>
    <col min="2057" max="2304" width="8.88671875" style="108"/>
    <col min="2305" max="2305" width="32.33203125" style="108" customWidth="1"/>
    <col min="2306" max="2306" width="20.33203125" style="108" customWidth="1"/>
    <col min="2307" max="2307" width="21" style="108" customWidth="1"/>
    <col min="2308" max="2308" width="19.88671875" style="108" customWidth="1"/>
    <col min="2309" max="2309" width="11.6640625" style="108" customWidth="1"/>
    <col min="2310" max="2310" width="6.6640625" style="108" customWidth="1"/>
    <col min="2311" max="2311" width="8.109375" style="108" customWidth="1"/>
    <col min="2312" max="2312" width="14" style="108" customWidth="1"/>
    <col min="2313" max="2560" width="8.88671875" style="108"/>
    <col min="2561" max="2561" width="32.33203125" style="108" customWidth="1"/>
    <col min="2562" max="2562" width="20.33203125" style="108" customWidth="1"/>
    <col min="2563" max="2563" width="21" style="108" customWidth="1"/>
    <col min="2564" max="2564" width="19.88671875" style="108" customWidth="1"/>
    <col min="2565" max="2565" width="11.6640625" style="108" customWidth="1"/>
    <col min="2566" max="2566" width="6.6640625" style="108" customWidth="1"/>
    <col min="2567" max="2567" width="8.109375" style="108" customWidth="1"/>
    <col min="2568" max="2568" width="14" style="108" customWidth="1"/>
    <col min="2569" max="2816" width="8.88671875" style="108"/>
    <col min="2817" max="2817" width="32.33203125" style="108" customWidth="1"/>
    <col min="2818" max="2818" width="20.33203125" style="108" customWidth="1"/>
    <col min="2819" max="2819" width="21" style="108" customWidth="1"/>
    <col min="2820" max="2820" width="19.88671875" style="108" customWidth="1"/>
    <col min="2821" max="2821" width="11.6640625" style="108" customWidth="1"/>
    <col min="2822" max="2822" width="6.6640625" style="108" customWidth="1"/>
    <col min="2823" max="2823" width="8.109375" style="108" customWidth="1"/>
    <col min="2824" max="2824" width="14" style="108" customWidth="1"/>
    <col min="2825" max="3072" width="8.88671875" style="108"/>
    <col min="3073" max="3073" width="32.33203125" style="108" customWidth="1"/>
    <col min="3074" max="3074" width="20.33203125" style="108" customWidth="1"/>
    <col min="3075" max="3075" width="21" style="108" customWidth="1"/>
    <col min="3076" max="3076" width="19.88671875" style="108" customWidth="1"/>
    <col min="3077" max="3077" width="11.6640625" style="108" customWidth="1"/>
    <col min="3078" max="3078" width="6.6640625" style="108" customWidth="1"/>
    <col min="3079" max="3079" width="8.109375" style="108" customWidth="1"/>
    <col min="3080" max="3080" width="14" style="108" customWidth="1"/>
    <col min="3081" max="3328" width="8.88671875" style="108"/>
    <col min="3329" max="3329" width="32.33203125" style="108" customWidth="1"/>
    <col min="3330" max="3330" width="20.33203125" style="108" customWidth="1"/>
    <col min="3331" max="3331" width="21" style="108" customWidth="1"/>
    <col min="3332" max="3332" width="19.88671875" style="108" customWidth="1"/>
    <col min="3333" max="3333" width="11.6640625" style="108" customWidth="1"/>
    <col min="3334" max="3334" width="6.6640625" style="108" customWidth="1"/>
    <col min="3335" max="3335" width="8.109375" style="108" customWidth="1"/>
    <col min="3336" max="3336" width="14" style="108" customWidth="1"/>
    <col min="3337" max="3584" width="8.88671875" style="108"/>
    <col min="3585" max="3585" width="32.33203125" style="108" customWidth="1"/>
    <col min="3586" max="3586" width="20.33203125" style="108" customWidth="1"/>
    <col min="3587" max="3587" width="21" style="108" customWidth="1"/>
    <col min="3588" max="3588" width="19.88671875" style="108" customWidth="1"/>
    <col min="3589" max="3589" width="11.6640625" style="108" customWidth="1"/>
    <col min="3590" max="3590" width="6.6640625" style="108" customWidth="1"/>
    <col min="3591" max="3591" width="8.109375" style="108" customWidth="1"/>
    <col min="3592" max="3592" width="14" style="108" customWidth="1"/>
    <col min="3593" max="3840" width="8.88671875" style="108"/>
    <col min="3841" max="3841" width="32.33203125" style="108" customWidth="1"/>
    <col min="3842" max="3842" width="20.33203125" style="108" customWidth="1"/>
    <col min="3843" max="3843" width="21" style="108" customWidth="1"/>
    <col min="3844" max="3844" width="19.88671875" style="108" customWidth="1"/>
    <col min="3845" max="3845" width="11.6640625" style="108" customWidth="1"/>
    <col min="3846" max="3846" width="6.6640625" style="108" customWidth="1"/>
    <col min="3847" max="3847" width="8.109375" style="108" customWidth="1"/>
    <col min="3848" max="3848" width="14" style="108" customWidth="1"/>
    <col min="3849" max="4096" width="8.88671875" style="108"/>
    <col min="4097" max="4097" width="32.33203125" style="108" customWidth="1"/>
    <col min="4098" max="4098" width="20.33203125" style="108" customWidth="1"/>
    <col min="4099" max="4099" width="21" style="108" customWidth="1"/>
    <col min="4100" max="4100" width="19.88671875" style="108" customWidth="1"/>
    <col min="4101" max="4101" width="11.6640625" style="108" customWidth="1"/>
    <col min="4102" max="4102" width="6.6640625" style="108" customWidth="1"/>
    <col min="4103" max="4103" width="8.109375" style="108" customWidth="1"/>
    <col min="4104" max="4104" width="14" style="108" customWidth="1"/>
    <col min="4105" max="4352" width="8.88671875" style="108"/>
    <col min="4353" max="4353" width="32.33203125" style="108" customWidth="1"/>
    <col min="4354" max="4354" width="20.33203125" style="108" customWidth="1"/>
    <col min="4355" max="4355" width="21" style="108" customWidth="1"/>
    <col min="4356" max="4356" width="19.88671875" style="108" customWidth="1"/>
    <col min="4357" max="4357" width="11.6640625" style="108" customWidth="1"/>
    <col min="4358" max="4358" width="6.6640625" style="108" customWidth="1"/>
    <col min="4359" max="4359" width="8.109375" style="108" customWidth="1"/>
    <col min="4360" max="4360" width="14" style="108" customWidth="1"/>
    <col min="4361" max="4608" width="8.88671875" style="108"/>
    <col min="4609" max="4609" width="32.33203125" style="108" customWidth="1"/>
    <col min="4610" max="4610" width="20.33203125" style="108" customWidth="1"/>
    <col min="4611" max="4611" width="21" style="108" customWidth="1"/>
    <col min="4612" max="4612" width="19.88671875" style="108" customWidth="1"/>
    <col min="4613" max="4613" width="11.6640625" style="108" customWidth="1"/>
    <col min="4614" max="4614" width="6.6640625" style="108" customWidth="1"/>
    <col min="4615" max="4615" width="8.109375" style="108" customWidth="1"/>
    <col min="4616" max="4616" width="14" style="108" customWidth="1"/>
    <col min="4617" max="4864" width="8.88671875" style="108"/>
    <col min="4865" max="4865" width="32.33203125" style="108" customWidth="1"/>
    <col min="4866" max="4866" width="20.33203125" style="108" customWidth="1"/>
    <col min="4867" max="4867" width="21" style="108" customWidth="1"/>
    <col min="4868" max="4868" width="19.88671875" style="108" customWidth="1"/>
    <col min="4869" max="4869" width="11.6640625" style="108" customWidth="1"/>
    <col min="4870" max="4870" width="6.6640625" style="108" customWidth="1"/>
    <col min="4871" max="4871" width="8.109375" style="108" customWidth="1"/>
    <col min="4872" max="4872" width="14" style="108" customWidth="1"/>
    <col min="4873" max="5120" width="8.88671875" style="108"/>
    <col min="5121" max="5121" width="32.33203125" style="108" customWidth="1"/>
    <col min="5122" max="5122" width="20.33203125" style="108" customWidth="1"/>
    <col min="5123" max="5123" width="21" style="108" customWidth="1"/>
    <col min="5124" max="5124" width="19.88671875" style="108" customWidth="1"/>
    <col min="5125" max="5125" width="11.6640625" style="108" customWidth="1"/>
    <col min="5126" max="5126" width="6.6640625" style="108" customWidth="1"/>
    <col min="5127" max="5127" width="8.109375" style="108" customWidth="1"/>
    <col min="5128" max="5128" width="14" style="108" customWidth="1"/>
    <col min="5129" max="5376" width="8.88671875" style="108"/>
    <col min="5377" max="5377" width="32.33203125" style="108" customWidth="1"/>
    <col min="5378" max="5378" width="20.33203125" style="108" customWidth="1"/>
    <col min="5379" max="5379" width="21" style="108" customWidth="1"/>
    <col min="5380" max="5380" width="19.88671875" style="108" customWidth="1"/>
    <col min="5381" max="5381" width="11.6640625" style="108" customWidth="1"/>
    <col min="5382" max="5382" width="6.6640625" style="108" customWidth="1"/>
    <col min="5383" max="5383" width="8.109375" style="108" customWidth="1"/>
    <col min="5384" max="5384" width="14" style="108" customWidth="1"/>
    <col min="5385" max="5632" width="8.88671875" style="108"/>
    <col min="5633" max="5633" width="32.33203125" style="108" customWidth="1"/>
    <col min="5634" max="5634" width="20.33203125" style="108" customWidth="1"/>
    <col min="5635" max="5635" width="21" style="108" customWidth="1"/>
    <col min="5636" max="5636" width="19.88671875" style="108" customWidth="1"/>
    <col min="5637" max="5637" width="11.6640625" style="108" customWidth="1"/>
    <col min="5638" max="5638" width="6.6640625" style="108" customWidth="1"/>
    <col min="5639" max="5639" width="8.109375" style="108" customWidth="1"/>
    <col min="5640" max="5640" width="14" style="108" customWidth="1"/>
    <col min="5641" max="5888" width="8.88671875" style="108"/>
    <col min="5889" max="5889" width="32.33203125" style="108" customWidth="1"/>
    <col min="5890" max="5890" width="20.33203125" style="108" customWidth="1"/>
    <col min="5891" max="5891" width="21" style="108" customWidth="1"/>
    <col min="5892" max="5892" width="19.88671875" style="108" customWidth="1"/>
    <col min="5893" max="5893" width="11.6640625" style="108" customWidth="1"/>
    <col min="5894" max="5894" width="6.6640625" style="108" customWidth="1"/>
    <col min="5895" max="5895" width="8.109375" style="108" customWidth="1"/>
    <col min="5896" max="5896" width="14" style="108" customWidth="1"/>
    <col min="5897" max="6144" width="8.88671875" style="108"/>
    <col min="6145" max="6145" width="32.33203125" style="108" customWidth="1"/>
    <col min="6146" max="6146" width="20.33203125" style="108" customWidth="1"/>
    <col min="6147" max="6147" width="21" style="108" customWidth="1"/>
    <col min="6148" max="6148" width="19.88671875" style="108" customWidth="1"/>
    <col min="6149" max="6149" width="11.6640625" style="108" customWidth="1"/>
    <col min="6150" max="6150" width="6.6640625" style="108" customWidth="1"/>
    <col min="6151" max="6151" width="8.109375" style="108" customWidth="1"/>
    <col min="6152" max="6152" width="14" style="108" customWidth="1"/>
    <col min="6153" max="6400" width="8.88671875" style="108"/>
    <col min="6401" max="6401" width="32.33203125" style="108" customWidth="1"/>
    <col min="6402" max="6402" width="20.33203125" style="108" customWidth="1"/>
    <col min="6403" max="6403" width="21" style="108" customWidth="1"/>
    <col min="6404" max="6404" width="19.88671875" style="108" customWidth="1"/>
    <col min="6405" max="6405" width="11.6640625" style="108" customWidth="1"/>
    <col min="6406" max="6406" width="6.6640625" style="108" customWidth="1"/>
    <col min="6407" max="6407" width="8.109375" style="108" customWidth="1"/>
    <col min="6408" max="6408" width="14" style="108" customWidth="1"/>
    <col min="6409" max="6656" width="8.88671875" style="108"/>
    <col min="6657" max="6657" width="32.33203125" style="108" customWidth="1"/>
    <col min="6658" max="6658" width="20.33203125" style="108" customWidth="1"/>
    <col min="6659" max="6659" width="21" style="108" customWidth="1"/>
    <col min="6660" max="6660" width="19.88671875" style="108" customWidth="1"/>
    <col min="6661" max="6661" width="11.6640625" style="108" customWidth="1"/>
    <col min="6662" max="6662" width="6.6640625" style="108" customWidth="1"/>
    <col min="6663" max="6663" width="8.109375" style="108" customWidth="1"/>
    <col min="6664" max="6664" width="14" style="108" customWidth="1"/>
    <col min="6665" max="6912" width="8.88671875" style="108"/>
    <col min="6913" max="6913" width="32.33203125" style="108" customWidth="1"/>
    <col min="6914" max="6914" width="20.33203125" style="108" customWidth="1"/>
    <col min="6915" max="6915" width="21" style="108" customWidth="1"/>
    <col min="6916" max="6916" width="19.88671875" style="108" customWidth="1"/>
    <col min="6917" max="6917" width="11.6640625" style="108" customWidth="1"/>
    <col min="6918" max="6918" width="6.6640625" style="108" customWidth="1"/>
    <col min="6919" max="6919" width="8.109375" style="108" customWidth="1"/>
    <col min="6920" max="6920" width="14" style="108" customWidth="1"/>
    <col min="6921" max="7168" width="8.88671875" style="108"/>
    <col min="7169" max="7169" width="32.33203125" style="108" customWidth="1"/>
    <col min="7170" max="7170" width="20.33203125" style="108" customWidth="1"/>
    <col min="7171" max="7171" width="21" style="108" customWidth="1"/>
    <col min="7172" max="7172" width="19.88671875" style="108" customWidth="1"/>
    <col min="7173" max="7173" width="11.6640625" style="108" customWidth="1"/>
    <col min="7174" max="7174" width="6.6640625" style="108" customWidth="1"/>
    <col min="7175" max="7175" width="8.109375" style="108" customWidth="1"/>
    <col min="7176" max="7176" width="14" style="108" customWidth="1"/>
    <col min="7177" max="7424" width="8.88671875" style="108"/>
    <col min="7425" max="7425" width="32.33203125" style="108" customWidth="1"/>
    <col min="7426" max="7426" width="20.33203125" style="108" customWidth="1"/>
    <col min="7427" max="7427" width="21" style="108" customWidth="1"/>
    <col min="7428" max="7428" width="19.88671875" style="108" customWidth="1"/>
    <col min="7429" max="7429" width="11.6640625" style="108" customWidth="1"/>
    <col min="7430" max="7430" width="6.6640625" style="108" customWidth="1"/>
    <col min="7431" max="7431" width="8.109375" style="108" customWidth="1"/>
    <col min="7432" max="7432" width="14" style="108" customWidth="1"/>
    <col min="7433" max="7680" width="8.88671875" style="108"/>
    <col min="7681" max="7681" width="32.33203125" style="108" customWidth="1"/>
    <col min="7682" max="7682" width="20.33203125" style="108" customWidth="1"/>
    <col min="7683" max="7683" width="21" style="108" customWidth="1"/>
    <col min="7684" max="7684" width="19.88671875" style="108" customWidth="1"/>
    <col min="7685" max="7685" width="11.6640625" style="108" customWidth="1"/>
    <col min="7686" max="7686" width="6.6640625" style="108" customWidth="1"/>
    <col min="7687" max="7687" width="8.109375" style="108" customWidth="1"/>
    <col min="7688" max="7688" width="14" style="108" customWidth="1"/>
    <col min="7689" max="7936" width="8.88671875" style="108"/>
    <col min="7937" max="7937" width="32.33203125" style="108" customWidth="1"/>
    <col min="7938" max="7938" width="20.33203125" style="108" customWidth="1"/>
    <col min="7939" max="7939" width="21" style="108" customWidth="1"/>
    <col min="7940" max="7940" width="19.88671875" style="108" customWidth="1"/>
    <col min="7941" max="7941" width="11.6640625" style="108" customWidth="1"/>
    <col min="7942" max="7942" width="6.6640625" style="108" customWidth="1"/>
    <col min="7943" max="7943" width="8.109375" style="108" customWidth="1"/>
    <col min="7944" max="7944" width="14" style="108" customWidth="1"/>
    <col min="7945" max="8192" width="8.88671875" style="108"/>
    <col min="8193" max="8193" width="32.33203125" style="108" customWidth="1"/>
    <col min="8194" max="8194" width="20.33203125" style="108" customWidth="1"/>
    <col min="8195" max="8195" width="21" style="108" customWidth="1"/>
    <col min="8196" max="8196" width="19.88671875" style="108" customWidth="1"/>
    <col min="8197" max="8197" width="11.6640625" style="108" customWidth="1"/>
    <col min="8198" max="8198" width="6.6640625" style="108" customWidth="1"/>
    <col min="8199" max="8199" width="8.109375" style="108" customWidth="1"/>
    <col min="8200" max="8200" width="14" style="108" customWidth="1"/>
    <col min="8201" max="8448" width="8.88671875" style="108"/>
    <col min="8449" max="8449" width="32.33203125" style="108" customWidth="1"/>
    <col min="8450" max="8450" width="20.33203125" style="108" customWidth="1"/>
    <col min="8451" max="8451" width="21" style="108" customWidth="1"/>
    <col min="8452" max="8452" width="19.88671875" style="108" customWidth="1"/>
    <col min="8453" max="8453" width="11.6640625" style="108" customWidth="1"/>
    <col min="8454" max="8454" width="6.6640625" style="108" customWidth="1"/>
    <col min="8455" max="8455" width="8.109375" style="108" customWidth="1"/>
    <col min="8456" max="8456" width="14" style="108" customWidth="1"/>
    <col min="8457" max="8704" width="8.88671875" style="108"/>
    <col min="8705" max="8705" width="32.33203125" style="108" customWidth="1"/>
    <col min="8706" max="8706" width="20.33203125" style="108" customWidth="1"/>
    <col min="8707" max="8707" width="21" style="108" customWidth="1"/>
    <col min="8708" max="8708" width="19.88671875" style="108" customWidth="1"/>
    <col min="8709" max="8709" width="11.6640625" style="108" customWidth="1"/>
    <col min="8710" max="8710" width="6.6640625" style="108" customWidth="1"/>
    <col min="8711" max="8711" width="8.109375" style="108" customWidth="1"/>
    <col min="8712" max="8712" width="14" style="108" customWidth="1"/>
    <col min="8713" max="8960" width="8.88671875" style="108"/>
    <col min="8961" max="8961" width="32.33203125" style="108" customWidth="1"/>
    <col min="8962" max="8962" width="20.33203125" style="108" customWidth="1"/>
    <col min="8963" max="8963" width="21" style="108" customWidth="1"/>
    <col min="8964" max="8964" width="19.88671875" style="108" customWidth="1"/>
    <col min="8965" max="8965" width="11.6640625" style="108" customWidth="1"/>
    <col min="8966" max="8966" width="6.6640625" style="108" customWidth="1"/>
    <col min="8967" max="8967" width="8.109375" style="108" customWidth="1"/>
    <col min="8968" max="8968" width="14" style="108" customWidth="1"/>
    <col min="8969" max="9216" width="8.88671875" style="108"/>
    <col min="9217" max="9217" width="32.33203125" style="108" customWidth="1"/>
    <col min="9218" max="9218" width="20.33203125" style="108" customWidth="1"/>
    <col min="9219" max="9219" width="21" style="108" customWidth="1"/>
    <col min="9220" max="9220" width="19.88671875" style="108" customWidth="1"/>
    <col min="9221" max="9221" width="11.6640625" style="108" customWidth="1"/>
    <col min="9222" max="9222" width="6.6640625" style="108" customWidth="1"/>
    <col min="9223" max="9223" width="8.109375" style="108" customWidth="1"/>
    <col min="9224" max="9224" width="14" style="108" customWidth="1"/>
    <col min="9225" max="9472" width="8.88671875" style="108"/>
    <col min="9473" max="9473" width="32.33203125" style="108" customWidth="1"/>
    <col min="9474" max="9474" width="20.33203125" style="108" customWidth="1"/>
    <col min="9475" max="9475" width="21" style="108" customWidth="1"/>
    <col min="9476" max="9476" width="19.88671875" style="108" customWidth="1"/>
    <col min="9477" max="9477" width="11.6640625" style="108" customWidth="1"/>
    <col min="9478" max="9478" width="6.6640625" style="108" customWidth="1"/>
    <col min="9479" max="9479" width="8.109375" style="108" customWidth="1"/>
    <col min="9480" max="9480" width="14" style="108" customWidth="1"/>
    <col min="9481" max="9728" width="8.88671875" style="108"/>
    <col min="9729" max="9729" width="32.33203125" style="108" customWidth="1"/>
    <col min="9730" max="9730" width="20.33203125" style="108" customWidth="1"/>
    <col min="9731" max="9731" width="21" style="108" customWidth="1"/>
    <col min="9732" max="9732" width="19.88671875" style="108" customWidth="1"/>
    <col min="9733" max="9733" width="11.6640625" style="108" customWidth="1"/>
    <col min="9734" max="9734" width="6.6640625" style="108" customWidth="1"/>
    <col min="9735" max="9735" width="8.109375" style="108" customWidth="1"/>
    <col min="9736" max="9736" width="14" style="108" customWidth="1"/>
    <col min="9737" max="9984" width="8.88671875" style="108"/>
    <col min="9985" max="9985" width="32.33203125" style="108" customWidth="1"/>
    <col min="9986" max="9986" width="20.33203125" style="108" customWidth="1"/>
    <col min="9987" max="9987" width="21" style="108" customWidth="1"/>
    <col min="9988" max="9988" width="19.88671875" style="108" customWidth="1"/>
    <col min="9989" max="9989" width="11.6640625" style="108" customWidth="1"/>
    <col min="9990" max="9990" width="6.6640625" style="108" customWidth="1"/>
    <col min="9991" max="9991" width="8.109375" style="108" customWidth="1"/>
    <col min="9992" max="9992" width="14" style="108" customWidth="1"/>
    <col min="9993" max="10240" width="8.88671875" style="108"/>
    <col min="10241" max="10241" width="32.33203125" style="108" customWidth="1"/>
    <col min="10242" max="10242" width="20.33203125" style="108" customWidth="1"/>
    <col min="10243" max="10243" width="21" style="108" customWidth="1"/>
    <col min="10244" max="10244" width="19.88671875" style="108" customWidth="1"/>
    <col min="10245" max="10245" width="11.6640625" style="108" customWidth="1"/>
    <col min="10246" max="10246" width="6.6640625" style="108" customWidth="1"/>
    <col min="10247" max="10247" width="8.109375" style="108" customWidth="1"/>
    <col min="10248" max="10248" width="14" style="108" customWidth="1"/>
    <col min="10249" max="10496" width="8.88671875" style="108"/>
    <col min="10497" max="10497" width="32.33203125" style="108" customWidth="1"/>
    <col min="10498" max="10498" width="20.33203125" style="108" customWidth="1"/>
    <col min="10499" max="10499" width="21" style="108" customWidth="1"/>
    <col min="10500" max="10500" width="19.88671875" style="108" customWidth="1"/>
    <col min="10501" max="10501" width="11.6640625" style="108" customWidth="1"/>
    <col min="10502" max="10502" width="6.6640625" style="108" customWidth="1"/>
    <col min="10503" max="10503" width="8.109375" style="108" customWidth="1"/>
    <col min="10504" max="10504" width="14" style="108" customWidth="1"/>
    <col min="10505" max="10752" width="8.88671875" style="108"/>
    <col min="10753" max="10753" width="32.33203125" style="108" customWidth="1"/>
    <col min="10754" max="10754" width="20.33203125" style="108" customWidth="1"/>
    <col min="10755" max="10755" width="21" style="108" customWidth="1"/>
    <col min="10756" max="10756" width="19.88671875" style="108" customWidth="1"/>
    <col min="10757" max="10757" width="11.6640625" style="108" customWidth="1"/>
    <col min="10758" max="10758" width="6.6640625" style="108" customWidth="1"/>
    <col min="10759" max="10759" width="8.109375" style="108" customWidth="1"/>
    <col min="10760" max="10760" width="14" style="108" customWidth="1"/>
    <col min="10761" max="11008" width="8.88671875" style="108"/>
    <col min="11009" max="11009" width="32.33203125" style="108" customWidth="1"/>
    <col min="11010" max="11010" width="20.33203125" style="108" customWidth="1"/>
    <col min="11011" max="11011" width="21" style="108" customWidth="1"/>
    <col min="11012" max="11012" width="19.88671875" style="108" customWidth="1"/>
    <col min="11013" max="11013" width="11.6640625" style="108" customWidth="1"/>
    <col min="11014" max="11014" width="6.6640625" style="108" customWidth="1"/>
    <col min="11015" max="11015" width="8.109375" style="108" customWidth="1"/>
    <col min="11016" max="11016" width="14" style="108" customWidth="1"/>
    <col min="11017" max="11264" width="8.88671875" style="108"/>
    <col min="11265" max="11265" width="32.33203125" style="108" customWidth="1"/>
    <col min="11266" max="11266" width="20.33203125" style="108" customWidth="1"/>
    <col min="11267" max="11267" width="21" style="108" customWidth="1"/>
    <col min="11268" max="11268" width="19.88671875" style="108" customWidth="1"/>
    <col min="11269" max="11269" width="11.6640625" style="108" customWidth="1"/>
    <col min="11270" max="11270" width="6.6640625" style="108" customWidth="1"/>
    <col min="11271" max="11271" width="8.109375" style="108" customWidth="1"/>
    <col min="11272" max="11272" width="14" style="108" customWidth="1"/>
    <col min="11273" max="11520" width="8.88671875" style="108"/>
    <col min="11521" max="11521" width="32.33203125" style="108" customWidth="1"/>
    <col min="11522" max="11522" width="20.33203125" style="108" customWidth="1"/>
    <col min="11523" max="11523" width="21" style="108" customWidth="1"/>
    <col min="11524" max="11524" width="19.88671875" style="108" customWidth="1"/>
    <col min="11525" max="11525" width="11.6640625" style="108" customWidth="1"/>
    <col min="11526" max="11526" width="6.6640625" style="108" customWidth="1"/>
    <col min="11527" max="11527" width="8.109375" style="108" customWidth="1"/>
    <col min="11528" max="11528" width="14" style="108" customWidth="1"/>
    <col min="11529" max="11776" width="8.88671875" style="108"/>
    <col min="11777" max="11777" width="32.33203125" style="108" customWidth="1"/>
    <col min="11778" max="11778" width="20.33203125" style="108" customWidth="1"/>
    <col min="11779" max="11779" width="21" style="108" customWidth="1"/>
    <col min="11780" max="11780" width="19.88671875" style="108" customWidth="1"/>
    <col min="11781" max="11781" width="11.6640625" style="108" customWidth="1"/>
    <col min="11782" max="11782" width="6.6640625" style="108" customWidth="1"/>
    <col min="11783" max="11783" width="8.109375" style="108" customWidth="1"/>
    <col min="11784" max="11784" width="14" style="108" customWidth="1"/>
    <col min="11785" max="12032" width="8.88671875" style="108"/>
    <col min="12033" max="12033" width="32.33203125" style="108" customWidth="1"/>
    <col min="12034" max="12034" width="20.33203125" style="108" customWidth="1"/>
    <col min="12035" max="12035" width="21" style="108" customWidth="1"/>
    <col min="12036" max="12036" width="19.88671875" style="108" customWidth="1"/>
    <col min="12037" max="12037" width="11.6640625" style="108" customWidth="1"/>
    <col min="12038" max="12038" width="6.6640625" style="108" customWidth="1"/>
    <col min="12039" max="12039" width="8.109375" style="108" customWidth="1"/>
    <col min="12040" max="12040" width="14" style="108" customWidth="1"/>
    <col min="12041" max="12288" width="8.88671875" style="108"/>
    <col min="12289" max="12289" width="32.33203125" style="108" customWidth="1"/>
    <col min="12290" max="12290" width="20.33203125" style="108" customWidth="1"/>
    <col min="12291" max="12291" width="21" style="108" customWidth="1"/>
    <col min="12292" max="12292" width="19.88671875" style="108" customWidth="1"/>
    <col min="12293" max="12293" width="11.6640625" style="108" customWidth="1"/>
    <col min="12294" max="12294" width="6.6640625" style="108" customWidth="1"/>
    <col min="12295" max="12295" width="8.109375" style="108" customWidth="1"/>
    <col min="12296" max="12296" width="14" style="108" customWidth="1"/>
    <col min="12297" max="12544" width="8.88671875" style="108"/>
    <col min="12545" max="12545" width="32.33203125" style="108" customWidth="1"/>
    <col min="12546" max="12546" width="20.33203125" style="108" customWidth="1"/>
    <col min="12547" max="12547" width="21" style="108" customWidth="1"/>
    <col min="12548" max="12548" width="19.88671875" style="108" customWidth="1"/>
    <col min="12549" max="12549" width="11.6640625" style="108" customWidth="1"/>
    <col min="12550" max="12550" width="6.6640625" style="108" customWidth="1"/>
    <col min="12551" max="12551" width="8.109375" style="108" customWidth="1"/>
    <col min="12552" max="12552" width="14" style="108" customWidth="1"/>
    <col min="12553" max="12800" width="8.88671875" style="108"/>
    <col min="12801" max="12801" width="32.33203125" style="108" customWidth="1"/>
    <col min="12802" max="12802" width="20.33203125" style="108" customWidth="1"/>
    <col min="12803" max="12803" width="21" style="108" customWidth="1"/>
    <col min="12804" max="12804" width="19.88671875" style="108" customWidth="1"/>
    <col min="12805" max="12805" width="11.6640625" style="108" customWidth="1"/>
    <col min="12806" max="12806" width="6.6640625" style="108" customWidth="1"/>
    <col min="12807" max="12807" width="8.109375" style="108" customWidth="1"/>
    <col min="12808" max="12808" width="14" style="108" customWidth="1"/>
    <col min="12809" max="13056" width="8.88671875" style="108"/>
    <col min="13057" max="13057" width="32.33203125" style="108" customWidth="1"/>
    <col min="13058" max="13058" width="20.33203125" style="108" customWidth="1"/>
    <col min="13059" max="13059" width="21" style="108" customWidth="1"/>
    <col min="13060" max="13060" width="19.88671875" style="108" customWidth="1"/>
    <col min="13061" max="13061" width="11.6640625" style="108" customWidth="1"/>
    <col min="13062" max="13062" width="6.6640625" style="108" customWidth="1"/>
    <col min="13063" max="13063" width="8.109375" style="108" customWidth="1"/>
    <col min="13064" max="13064" width="14" style="108" customWidth="1"/>
    <col min="13065" max="13312" width="8.88671875" style="108"/>
    <col min="13313" max="13313" width="32.33203125" style="108" customWidth="1"/>
    <col min="13314" max="13314" width="20.33203125" style="108" customWidth="1"/>
    <col min="13315" max="13315" width="21" style="108" customWidth="1"/>
    <col min="13316" max="13316" width="19.88671875" style="108" customWidth="1"/>
    <col min="13317" max="13317" width="11.6640625" style="108" customWidth="1"/>
    <col min="13318" max="13318" width="6.6640625" style="108" customWidth="1"/>
    <col min="13319" max="13319" width="8.109375" style="108" customWidth="1"/>
    <col min="13320" max="13320" width="14" style="108" customWidth="1"/>
    <col min="13321" max="13568" width="8.88671875" style="108"/>
    <col min="13569" max="13569" width="32.33203125" style="108" customWidth="1"/>
    <col min="13570" max="13570" width="20.33203125" style="108" customWidth="1"/>
    <col min="13571" max="13571" width="21" style="108" customWidth="1"/>
    <col min="13572" max="13572" width="19.88671875" style="108" customWidth="1"/>
    <col min="13573" max="13573" width="11.6640625" style="108" customWidth="1"/>
    <col min="13574" max="13574" width="6.6640625" style="108" customWidth="1"/>
    <col min="13575" max="13575" width="8.109375" style="108" customWidth="1"/>
    <col min="13576" max="13576" width="14" style="108" customWidth="1"/>
    <col min="13577" max="13824" width="8.88671875" style="108"/>
    <col min="13825" max="13825" width="32.33203125" style="108" customWidth="1"/>
    <col min="13826" max="13826" width="20.33203125" style="108" customWidth="1"/>
    <col min="13827" max="13827" width="21" style="108" customWidth="1"/>
    <col min="13828" max="13828" width="19.88671875" style="108" customWidth="1"/>
    <col min="13829" max="13829" width="11.6640625" style="108" customWidth="1"/>
    <col min="13830" max="13830" width="6.6640625" style="108" customWidth="1"/>
    <col min="13831" max="13831" width="8.109375" style="108" customWidth="1"/>
    <col min="13832" max="13832" width="14" style="108" customWidth="1"/>
    <col min="13833" max="14080" width="8.88671875" style="108"/>
    <col min="14081" max="14081" width="32.33203125" style="108" customWidth="1"/>
    <col min="14082" max="14082" width="20.33203125" style="108" customWidth="1"/>
    <col min="14083" max="14083" width="21" style="108" customWidth="1"/>
    <col min="14084" max="14084" width="19.88671875" style="108" customWidth="1"/>
    <col min="14085" max="14085" width="11.6640625" style="108" customWidth="1"/>
    <col min="14086" max="14086" width="6.6640625" style="108" customWidth="1"/>
    <col min="14087" max="14087" width="8.109375" style="108" customWidth="1"/>
    <col min="14088" max="14088" width="14" style="108" customWidth="1"/>
    <col min="14089" max="14336" width="8.88671875" style="108"/>
    <col min="14337" max="14337" width="32.33203125" style="108" customWidth="1"/>
    <col min="14338" max="14338" width="20.33203125" style="108" customWidth="1"/>
    <col min="14339" max="14339" width="21" style="108" customWidth="1"/>
    <col min="14340" max="14340" width="19.88671875" style="108" customWidth="1"/>
    <col min="14341" max="14341" width="11.6640625" style="108" customWidth="1"/>
    <col min="14342" max="14342" width="6.6640625" style="108" customWidth="1"/>
    <col min="14343" max="14343" width="8.109375" style="108" customWidth="1"/>
    <col min="14344" max="14344" width="14" style="108" customWidth="1"/>
    <col min="14345" max="14592" width="8.88671875" style="108"/>
    <col min="14593" max="14593" width="32.33203125" style="108" customWidth="1"/>
    <col min="14594" max="14594" width="20.33203125" style="108" customWidth="1"/>
    <col min="14595" max="14595" width="21" style="108" customWidth="1"/>
    <col min="14596" max="14596" width="19.88671875" style="108" customWidth="1"/>
    <col min="14597" max="14597" width="11.6640625" style="108" customWidth="1"/>
    <col min="14598" max="14598" width="6.6640625" style="108" customWidth="1"/>
    <col min="14599" max="14599" width="8.109375" style="108" customWidth="1"/>
    <col min="14600" max="14600" width="14" style="108" customWidth="1"/>
    <col min="14601" max="14848" width="8.88671875" style="108"/>
    <col min="14849" max="14849" width="32.33203125" style="108" customWidth="1"/>
    <col min="14850" max="14850" width="20.33203125" style="108" customWidth="1"/>
    <col min="14851" max="14851" width="21" style="108" customWidth="1"/>
    <col min="14852" max="14852" width="19.88671875" style="108" customWidth="1"/>
    <col min="14853" max="14853" width="11.6640625" style="108" customWidth="1"/>
    <col min="14854" max="14854" width="6.6640625" style="108" customWidth="1"/>
    <col min="14855" max="14855" width="8.109375" style="108" customWidth="1"/>
    <col min="14856" max="14856" width="14" style="108" customWidth="1"/>
    <col min="14857" max="15104" width="8.88671875" style="108"/>
    <col min="15105" max="15105" width="32.33203125" style="108" customWidth="1"/>
    <col min="15106" max="15106" width="20.33203125" style="108" customWidth="1"/>
    <col min="15107" max="15107" width="21" style="108" customWidth="1"/>
    <col min="15108" max="15108" width="19.88671875" style="108" customWidth="1"/>
    <col min="15109" max="15109" width="11.6640625" style="108" customWidth="1"/>
    <col min="15110" max="15110" width="6.6640625" style="108" customWidth="1"/>
    <col min="15111" max="15111" width="8.109375" style="108" customWidth="1"/>
    <col min="15112" max="15112" width="14" style="108" customWidth="1"/>
    <col min="15113" max="15360" width="8.88671875" style="108"/>
    <col min="15361" max="15361" width="32.33203125" style="108" customWidth="1"/>
    <col min="15362" max="15362" width="20.33203125" style="108" customWidth="1"/>
    <col min="15363" max="15363" width="21" style="108" customWidth="1"/>
    <col min="15364" max="15364" width="19.88671875" style="108" customWidth="1"/>
    <col min="15365" max="15365" width="11.6640625" style="108" customWidth="1"/>
    <col min="15366" max="15366" width="6.6640625" style="108" customWidth="1"/>
    <col min="15367" max="15367" width="8.109375" style="108" customWidth="1"/>
    <col min="15368" max="15368" width="14" style="108" customWidth="1"/>
    <col min="15369" max="15616" width="8.88671875" style="108"/>
    <col min="15617" max="15617" width="32.33203125" style="108" customWidth="1"/>
    <col min="15618" max="15618" width="20.33203125" style="108" customWidth="1"/>
    <col min="15619" max="15619" width="21" style="108" customWidth="1"/>
    <col min="15620" max="15620" width="19.88671875" style="108" customWidth="1"/>
    <col min="15621" max="15621" width="11.6640625" style="108" customWidth="1"/>
    <col min="15622" max="15622" width="6.6640625" style="108" customWidth="1"/>
    <col min="15623" max="15623" width="8.109375" style="108" customWidth="1"/>
    <col min="15624" max="15624" width="14" style="108" customWidth="1"/>
    <col min="15625" max="15872" width="8.88671875" style="108"/>
    <col min="15873" max="15873" width="32.33203125" style="108" customWidth="1"/>
    <col min="15874" max="15874" width="20.33203125" style="108" customWidth="1"/>
    <col min="15875" max="15875" width="21" style="108" customWidth="1"/>
    <col min="15876" max="15876" width="19.88671875" style="108" customWidth="1"/>
    <col min="15877" max="15877" width="11.6640625" style="108" customWidth="1"/>
    <col min="15878" max="15878" width="6.6640625" style="108" customWidth="1"/>
    <col min="15879" max="15879" width="8.109375" style="108" customWidth="1"/>
    <col min="15880" max="15880" width="14" style="108" customWidth="1"/>
    <col min="15881" max="16128" width="8.88671875" style="108"/>
    <col min="16129" max="16129" width="32.33203125" style="108" customWidth="1"/>
    <col min="16130" max="16130" width="20.33203125" style="108" customWidth="1"/>
    <col min="16131" max="16131" width="21" style="108" customWidth="1"/>
    <col min="16132" max="16132" width="19.88671875" style="108" customWidth="1"/>
    <col min="16133" max="16133" width="11.6640625" style="108" customWidth="1"/>
    <col min="16134" max="16134" width="6.6640625" style="108" customWidth="1"/>
    <col min="16135" max="16135" width="8.109375" style="108" customWidth="1"/>
    <col min="16136" max="16136" width="14" style="108" customWidth="1"/>
    <col min="16137" max="16384" width="8.88671875" style="108"/>
  </cols>
  <sheetData>
    <row r="1" spans="1:11" ht="14.4" thickBot="1" x14ac:dyDescent="0.35"/>
    <row r="2" spans="1:11" s="98" customFormat="1" x14ac:dyDescent="0.3">
      <c r="A2" s="105"/>
      <c r="B2" s="106"/>
      <c r="C2" s="106"/>
      <c r="D2" s="106"/>
      <c r="E2" s="106"/>
      <c r="F2" s="251"/>
      <c r="G2" s="106"/>
      <c r="H2" s="107"/>
      <c r="I2" s="97"/>
    </row>
    <row r="3" spans="1:11" s="98" customFormat="1" ht="21" x14ac:dyDescent="0.4">
      <c r="A3" s="268" t="s">
        <v>150</v>
      </c>
      <c r="B3" s="269"/>
      <c r="C3" s="269"/>
      <c r="D3" s="269"/>
      <c r="E3" s="269"/>
      <c r="F3" s="269"/>
      <c r="G3" s="269"/>
      <c r="H3" s="270"/>
      <c r="I3" s="97"/>
    </row>
    <row r="4" spans="1:11" s="98" customFormat="1" ht="14.4" x14ac:dyDescent="0.3">
      <c r="A4" s="374"/>
      <c r="B4" s="375"/>
      <c r="C4" s="375"/>
      <c r="D4" s="375"/>
      <c r="E4" s="375"/>
      <c r="F4" s="375"/>
      <c r="G4" s="375"/>
      <c r="H4" s="376"/>
    </row>
    <row r="5" spans="1:11" s="98" customFormat="1" ht="14.4" x14ac:dyDescent="0.3">
      <c r="A5" s="374"/>
      <c r="B5" s="375"/>
      <c r="C5" s="375"/>
      <c r="D5" s="375"/>
      <c r="E5" s="375"/>
      <c r="F5" s="375"/>
      <c r="G5" s="375"/>
      <c r="H5" s="376"/>
    </row>
    <row r="6" spans="1:11" s="98" customFormat="1" ht="14.4" x14ac:dyDescent="0.3">
      <c r="A6" s="374"/>
      <c r="B6" s="375"/>
      <c r="C6" s="375"/>
      <c r="D6" s="375"/>
      <c r="E6" s="375"/>
      <c r="F6" s="375"/>
      <c r="G6" s="375"/>
      <c r="H6" s="376"/>
    </row>
    <row r="7" spans="1:11" s="98" customFormat="1" ht="14.4" x14ac:dyDescent="0.3">
      <c r="A7" s="374"/>
      <c r="B7" s="375"/>
      <c r="C7" s="375"/>
      <c r="D7" s="375"/>
      <c r="E7" s="375"/>
      <c r="F7" s="375"/>
      <c r="G7" s="375"/>
      <c r="H7" s="376"/>
    </row>
    <row r="8" spans="1:11" s="98" customFormat="1" ht="14.4" thickBot="1" x14ac:dyDescent="0.35">
      <c r="A8" s="252"/>
      <c r="B8" s="133"/>
      <c r="C8" s="133"/>
      <c r="D8" s="133"/>
      <c r="E8" s="133"/>
      <c r="F8" s="253"/>
      <c r="G8" s="133"/>
      <c r="H8" s="134"/>
    </row>
    <row r="9" spans="1:11" s="98" customFormat="1" ht="3.75" customHeight="1" thickBot="1" x14ac:dyDescent="0.35">
      <c r="A9" s="99"/>
      <c r="B9" s="99"/>
      <c r="C9" s="99"/>
      <c r="D9" s="99"/>
      <c r="E9" s="99"/>
      <c r="F9" s="100"/>
      <c r="G9" s="99"/>
      <c r="H9" s="99"/>
      <c r="I9" s="97"/>
    </row>
    <row r="10" spans="1:11" s="98" customFormat="1" ht="19.95" customHeight="1" x14ac:dyDescent="0.3">
      <c r="A10" s="284" t="str">
        <f>'Planilha Orçamentária'!A10:F10</f>
        <v>CONTRATANTE: MUNICÍPIO DE IBERTIOGA-MG</v>
      </c>
      <c r="B10" s="285"/>
      <c r="C10" s="285"/>
      <c r="D10" s="285"/>
      <c r="E10" s="286"/>
      <c r="F10" s="371" t="str">
        <f>'Planilha Orçamentária'!G10</f>
        <v>FONTE DE RECURSOS: ESTADUAL</v>
      </c>
      <c r="G10" s="372"/>
      <c r="H10" s="373"/>
      <c r="I10" s="11"/>
      <c r="K10" s="101" t="s">
        <v>43</v>
      </c>
    </row>
    <row r="11" spans="1:11" s="98" customFormat="1" ht="20.100000000000001" customHeight="1" x14ac:dyDescent="0.3">
      <c r="A11" s="346" t="str">
        <f>'Planilha Orçamentária'!A11:F11</f>
        <v xml:space="preserve">OBJETO: PAVIMENTAÇÃO DE RUA EM BLOCOS INTERTRAVADOS </v>
      </c>
      <c r="B11" s="347"/>
      <c r="C11" s="347"/>
      <c r="D11" s="347"/>
      <c r="E11" s="348"/>
      <c r="F11" s="349" t="str">
        <f>'Planilha Orçamentária'!G12</f>
        <v>DATA: 19/07/2023</v>
      </c>
      <c r="G11" s="350"/>
      <c r="H11" s="351"/>
      <c r="I11" s="97"/>
    </row>
    <row r="12" spans="1:11" s="98" customFormat="1" ht="20.100000000000001" customHeight="1" x14ac:dyDescent="0.3">
      <c r="A12" s="346" t="str">
        <f>'Planilha Orçamentária'!A12</f>
        <v>LOCAL: COMUNIDADE DE CACHOEIRINHA, IBERTIOGA - MG</v>
      </c>
      <c r="B12" s="347"/>
      <c r="C12" s="347"/>
      <c r="D12" s="348"/>
      <c r="E12" s="352" t="s">
        <v>2</v>
      </c>
      <c r="F12" s="353"/>
      <c r="G12" s="353"/>
      <c r="H12" s="354"/>
      <c r="I12" s="97"/>
    </row>
    <row r="13" spans="1:11" s="98" customFormat="1" ht="20.100000000000001" customHeight="1" x14ac:dyDescent="0.3">
      <c r="A13" s="346" t="str">
        <f>'[2]PLANILHA ORÇAMENTÁRIA'!$A$15:$E$15</f>
        <v>R. T. CLIFFORD PETERLE REZENDE - ENGº. CIVIL CREAMG Nº56.477/D.</v>
      </c>
      <c r="B13" s="347"/>
      <c r="C13" s="347"/>
      <c r="D13" s="348"/>
      <c r="E13" s="355" t="s">
        <v>3</v>
      </c>
      <c r="F13" s="357" t="s">
        <v>4</v>
      </c>
      <c r="G13" s="102" t="s">
        <v>5</v>
      </c>
      <c r="H13" s="103" t="s">
        <v>6</v>
      </c>
      <c r="I13" s="97"/>
    </row>
    <row r="14" spans="1:11" s="98" customFormat="1" ht="20.100000000000001" customHeight="1" thickBot="1" x14ac:dyDescent="0.35">
      <c r="A14" s="359" t="str">
        <f>'Planilha Orçamentária'!A15:E15</f>
        <v>PRAZO DE EXECUÇÃO: 02 (DOIS) MESES</v>
      </c>
      <c r="B14" s="360"/>
      <c r="C14" s="360"/>
      <c r="D14" s="361"/>
      <c r="E14" s="356"/>
      <c r="F14" s="358"/>
      <c r="G14" s="104" t="s">
        <v>7</v>
      </c>
      <c r="H14" s="18">
        <f>C46</f>
        <v>0.29457594244604324</v>
      </c>
      <c r="I14" s="97"/>
    </row>
    <row r="15" spans="1:11" x14ac:dyDescent="0.3">
      <c r="A15" s="105"/>
      <c r="B15" s="106"/>
      <c r="C15" s="106"/>
      <c r="D15" s="106"/>
      <c r="E15" s="106"/>
      <c r="F15" s="106"/>
      <c r="G15" s="106"/>
      <c r="H15" s="107"/>
    </row>
    <row r="16" spans="1:11" ht="21" x14ac:dyDescent="0.4">
      <c r="A16" s="362" t="s">
        <v>44</v>
      </c>
      <c r="B16" s="363"/>
      <c r="C16" s="363"/>
      <c r="D16" s="363"/>
      <c r="E16" s="363"/>
      <c r="F16" s="363"/>
      <c r="G16" s="363"/>
      <c r="H16" s="364"/>
    </row>
    <row r="17" spans="1:8" x14ac:dyDescent="0.3">
      <c r="A17" s="112"/>
      <c r="H17" s="113"/>
    </row>
    <row r="18" spans="1:8" x14ac:dyDescent="0.3">
      <c r="A18" s="112"/>
      <c r="H18" s="113"/>
    </row>
    <row r="19" spans="1:8" s="114" customFormat="1" ht="21" x14ac:dyDescent="0.4">
      <c r="A19" s="362" t="s">
        <v>45</v>
      </c>
      <c r="B19" s="363"/>
      <c r="C19" s="363"/>
      <c r="D19" s="363"/>
      <c r="E19" s="363"/>
      <c r="F19" s="363"/>
      <c r="G19" s="363"/>
      <c r="H19" s="364"/>
    </row>
    <row r="20" spans="1:8" s="114" customFormat="1" ht="21" x14ac:dyDescent="0.4">
      <c r="A20" s="109"/>
      <c r="B20" s="110"/>
      <c r="C20" s="110"/>
      <c r="D20" s="110"/>
      <c r="E20" s="110"/>
      <c r="F20" s="110"/>
      <c r="G20" s="110"/>
      <c r="H20" s="111"/>
    </row>
    <row r="21" spans="1:8" s="114" customFormat="1" ht="15.6" x14ac:dyDescent="0.3">
      <c r="A21" s="365"/>
      <c r="B21" s="366"/>
      <c r="C21" s="366"/>
      <c r="D21" s="366"/>
      <c r="E21" s="366"/>
      <c r="F21" s="366"/>
      <c r="G21" s="366"/>
      <c r="H21" s="367"/>
    </row>
    <row r="22" spans="1:8" s="114" customFormat="1" ht="21" x14ac:dyDescent="0.4">
      <c r="A22" s="368" t="s">
        <v>46</v>
      </c>
      <c r="B22" s="369"/>
      <c r="C22" s="369"/>
      <c r="D22" s="369"/>
      <c r="E22" s="369"/>
      <c r="F22" s="369"/>
      <c r="G22" s="369"/>
      <c r="H22" s="370"/>
    </row>
    <row r="23" spans="1:8" s="114" customFormat="1" ht="15.6" x14ac:dyDescent="0.3">
      <c r="A23" s="365"/>
      <c r="B23" s="366"/>
      <c r="C23" s="366"/>
      <c r="D23" s="366"/>
      <c r="E23" s="366"/>
      <c r="F23" s="366"/>
      <c r="G23" s="366"/>
      <c r="H23" s="367"/>
    </row>
    <row r="24" spans="1:8" s="114" customFormat="1" ht="15.6" x14ac:dyDescent="0.3">
      <c r="A24" s="342"/>
      <c r="B24" s="345"/>
      <c r="C24" s="117"/>
      <c r="D24" s="117"/>
      <c r="E24" s="117"/>
      <c r="F24" s="117"/>
      <c r="G24" s="117"/>
      <c r="H24" s="118"/>
    </row>
    <row r="25" spans="1:8" s="114" customFormat="1" ht="15.6" x14ac:dyDescent="0.3">
      <c r="A25" s="342"/>
      <c r="B25" s="345"/>
      <c r="C25" s="116" t="s">
        <v>47</v>
      </c>
      <c r="D25" s="116" t="s">
        <v>48</v>
      </c>
      <c r="E25" s="116" t="s">
        <v>49</v>
      </c>
      <c r="F25" s="117"/>
      <c r="G25" s="117"/>
      <c r="H25" s="118"/>
    </row>
    <row r="26" spans="1:8" s="114" customFormat="1" ht="15.6" x14ac:dyDescent="0.3">
      <c r="A26" s="115"/>
      <c r="B26" s="117"/>
      <c r="C26" s="117"/>
      <c r="D26" s="117"/>
      <c r="E26" s="117"/>
      <c r="F26" s="117"/>
      <c r="G26" s="117"/>
      <c r="H26" s="118"/>
    </row>
    <row r="27" spans="1:8" s="114" customFormat="1" ht="15.6" x14ac:dyDescent="0.3">
      <c r="A27" s="115" t="s">
        <v>50</v>
      </c>
      <c r="B27" s="116" t="s">
        <v>51</v>
      </c>
      <c r="C27" s="119">
        <v>1</v>
      </c>
      <c r="D27" s="119">
        <v>1</v>
      </c>
      <c r="E27" s="117"/>
      <c r="F27" s="117"/>
      <c r="G27" s="117"/>
      <c r="H27" s="118"/>
    </row>
    <row r="28" spans="1:8" s="114" customFormat="1" ht="15.6" x14ac:dyDescent="0.3">
      <c r="A28" s="115" t="s">
        <v>52</v>
      </c>
      <c r="B28" s="116" t="s">
        <v>53</v>
      </c>
      <c r="C28" s="119">
        <v>5.5E-2</v>
      </c>
      <c r="D28" s="119">
        <v>3.4200000000000001E-2</v>
      </c>
      <c r="E28" s="116" t="s">
        <v>51</v>
      </c>
      <c r="F28" s="117"/>
      <c r="G28" s="117"/>
      <c r="H28" s="118"/>
    </row>
    <row r="29" spans="1:8" s="114" customFormat="1" ht="15.6" x14ac:dyDescent="0.3">
      <c r="A29" s="115" t="s">
        <v>54</v>
      </c>
      <c r="B29" s="116" t="s">
        <v>55</v>
      </c>
      <c r="C29" s="119">
        <v>7.4999999999999997E-2</v>
      </c>
      <c r="D29" s="119">
        <v>4.9399999999999999E-2</v>
      </c>
      <c r="E29" s="116" t="s">
        <v>51</v>
      </c>
      <c r="F29" s="117"/>
      <c r="G29" s="117"/>
      <c r="H29" s="118"/>
    </row>
    <row r="30" spans="1:8" s="114" customFormat="1" ht="15.6" x14ac:dyDescent="0.3">
      <c r="A30" s="115" t="s">
        <v>56</v>
      </c>
      <c r="B30" s="116" t="s">
        <v>57</v>
      </c>
      <c r="C30" s="119">
        <v>9.5999999999999992E-3</v>
      </c>
      <c r="D30" s="119">
        <v>9.5999999999999992E-3</v>
      </c>
      <c r="E30" s="116" t="s">
        <v>51</v>
      </c>
      <c r="F30" s="117"/>
      <c r="G30" s="117"/>
      <c r="H30" s="118"/>
    </row>
    <row r="31" spans="1:8" s="125" customFormat="1" ht="15.6" x14ac:dyDescent="0.3">
      <c r="A31" s="120" t="s">
        <v>58</v>
      </c>
      <c r="B31" s="121"/>
      <c r="C31" s="122">
        <v>2.2700000000000001E-2</v>
      </c>
      <c r="D31" s="122">
        <v>1.29E-2</v>
      </c>
      <c r="E31" s="121" t="s">
        <v>51</v>
      </c>
      <c r="F31" s="123"/>
      <c r="G31" s="123"/>
      <c r="H31" s="124"/>
    </row>
    <row r="32" spans="1:8" s="114" customFormat="1" ht="15.6" x14ac:dyDescent="0.3">
      <c r="A32" s="115" t="s">
        <v>59</v>
      </c>
      <c r="B32" s="116" t="s">
        <v>60</v>
      </c>
      <c r="C32" s="119">
        <v>0.01</v>
      </c>
      <c r="D32" s="119">
        <v>5.3E-3</v>
      </c>
      <c r="E32" s="116" t="s">
        <v>51</v>
      </c>
      <c r="F32" s="117"/>
      <c r="G32" s="117"/>
      <c r="H32" s="118"/>
    </row>
    <row r="33" spans="1:8" s="114" customFormat="1" ht="15.6" x14ac:dyDescent="0.3">
      <c r="A33" s="115" t="s">
        <v>61</v>
      </c>
      <c r="B33" s="116" t="s">
        <v>62</v>
      </c>
      <c r="C33" s="119">
        <v>1.2699999999999999E-2</v>
      </c>
      <c r="D33" s="119">
        <v>7.6E-3</v>
      </c>
      <c r="E33" s="116" t="s">
        <v>51</v>
      </c>
      <c r="F33" s="117"/>
      <c r="G33" s="117"/>
      <c r="H33" s="118"/>
    </row>
    <row r="34" spans="1:8" s="125" customFormat="1" ht="15.6" x14ac:dyDescent="0.3">
      <c r="A34" s="120" t="s">
        <v>63</v>
      </c>
      <c r="B34" s="121" t="s">
        <v>64</v>
      </c>
      <c r="C34" s="122">
        <v>5.1499999999999997E-2</v>
      </c>
      <c r="D34" s="122">
        <f>SUM(D36:D37)</f>
        <v>3.6499999999999998E-2</v>
      </c>
      <c r="E34" s="121" t="s">
        <v>65</v>
      </c>
      <c r="F34" s="123"/>
      <c r="G34" s="123"/>
      <c r="H34" s="124"/>
    </row>
    <row r="35" spans="1:8" s="114" customFormat="1" ht="15.6" x14ac:dyDescent="0.3">
      <c r="A35" s="115" t="s">
        <v>66</v>
      </c>
      <c r="B35" s="116" t="s">
        <v>66</v>
      </c>
      <c r="C35" s="126">
        <v>1.4999999999999999E-2</v>
      </c>
      <c r="D35" s="126"/>
      <c r="E35" s="127" t="s">
        <v>65</v>
      </c>
      <c r="F35" s="117"/>
      <c r="G35" s="117"/>
      <c r="H35" s="118"/>
    </row>
    <row r="36" spans="1:8" s="114" customFormat="1" ht="15.6" x14ac:dyDescent="0.3">
      <c r="A36" s="115" t="s">
        <v>67</v>
      </c>
      <c r="B36" s="116" t="s">
        <v>67</v>
      </c>
      <c r="C36" s="119">
        <v>6.4999999999999997E-3</v>
      </c>
      <c r="D36" s="119">
        <v>6.4999999999999997E-3</v>
      </c>
      <c r="E36" s="116" t="s">
        <v>65</v>
      </c>
      <c r="F36" s="117"/>
      <c r="G36" s="117"/>
      <c r="H36" s="118"/>
    </row>
    <row r="37" spans="1:8" s="114" customFormat="1" ht="15.6" x14ac:dyDescent="0.3">
      <c r="A37" s="115" t="s">
        <v>68</v>
      </c>
      <c r="B37" s="116" t="s">
        <v>68</v>
      </c>
      <c r="C37" s="119">
        <v>0.03</v>
      </c>
      <c r="D37" s="119">
        <v>0.03</v>
      </c>
      <c r="E37" s="116" t="s">
        <v>65</v>
      </c>
      <c r="F37" s="117"/>
      <c r="G37" s="117"/>
      <c r="H37" s="118"/>
    </row>
    <row r="38" spans="1:8" s="114" customFormat="1" ht="15.6" x14ac:dyDescent="0.3">
      <c r="A38" s="115" t="s">
        <v>69</v>
      </c>
      <c r="B38" s="116" t="s">
        <v>70</v>
      </c>
      <c r="C38" s="119">
        <v>4.4999999999999998E-2</v>
      </c>
      <c r="D38" s="119">
        <v>4.4999999999999998E-2</v>
      </c>
      <c r="E38" s="116" t="s">
        <v>65</v>
      </c>
      <c r="F38" s="117"/>
      <c r="G38" s="117"/>
      <c r="H38" s="118"/>
    </row>
    <row r="39" spans="1:8" s="114" customFormat="1" ht="15.6" x14ac:dyDescent="0.3">
      <c r="A39" s="342"/>
      <c r="B39" s="332"/>
      <c r="C39" s="332"/>
      <c r="D39" s="332"/>
      <c r="E39" s="332"/>
      <c r="F39" s="332"/>
      <c r="G39" s="332"/>
      <c r="H39" s="343"/>
    </row>
    <row r="40" spans="1:8" s="114" customFormat="1" ht="15.6" x14ac:dyDescent="0.3">
      <c r="A40" s="342" t="s">
        <v>71</v>
      </c>
      <c r="B40" s="344" t="s">
        <v>72</v>
      </c>
      <c r="C40" s="332" t="s">
        <v>73</v>
      </c>
      <c r="D40" s="332"/>
      <c r="E40" s="332"/>
      <c r="F40" s="332"/>
      <c r="G40" s="332"/>
      <c r="H40" s="343"/>
    </row>
    <row r="41" spans="1:8" s="114" customFormat="1" ht="15.6" x14ac:dyDescent="0.3">
      <c r="A41" s="342"/>
      <c r="B41" s="344"/>
      <c r="C41" s="332" t="s">
        <v>74</v>
      </c>
      <c r="D41" s="332"/>
      <c r="E41" s="332"/>
      <c r="F41" s="332"/>
      <c r="G41" s="332"/>
      <c r="H41" s="343"/>
    </row>
    <row r="42" spans="1:8" s="114" customFormat="1" ht="15.6" x14ac:dyDescent="0.3">
      <c r="A42" s="115"/>
      <c r="B42" s="117"/>
      <c r="C42" s="117"/>
      <c r="D42" s="117"/>
      <c r="E42" s="117"/>
      <c r="F42" s="117"/>
      <c r="G42" s="117"/>
      <c r="H42" s="118"/>
    </row>
    <row r="43" spans="1:8" s="114" customFormat="1" ht="15.6" x14ac:dyDescent="0.3">
      <c r="A43" s="115"/>
      <c r="B43" s="117" t="s">
        <v>75</v>
      </c>
      <c r="C43" s="128">
        <f>(1+(C28+C31))*(1+C30)*(1+C29)-1</f>
        <v>0.16964936400000008</v>
      </c>
      <c r="D43" s="128">
        <f>(1+(D28+D31))*(1+D30)*(1+D29)-1</f>
        <v>0.10937547670399983</v>
      </c>
      <c r="E43" s="117"/>
      <c r="F43" s="117"/>
      <c r="G43" s="117"/>
      <c r="H43" s="118"/>
    </row>
    <row r="44" spans="1:8" s="114" customFormat="1" ht="15.6" x14ac:dyDescent="0.3">
      <c r="A44" s="115"/>
      <c r="B44" s="117"/>
      <c r="C44" s="128"/>
      <c r="D44" s="128"/>
      <c r="E44" s="117"/>
      <c r="F44" s="117"/>
      <c r="G44" s="117"/>
      <c r="H44" s="118"/>
    </row>
    <row r="45" spans="1:8" s="114" customFormat="1" ht="15.6" x14ac:dyDescent="0.3">
      <c r="A45" s="115"/>
      <c r="B45" s="117" t="s">
        <v>76</v>
      </c>
      <c r="C45" s="128">
        <f>(1-(C34+C38))</f>
        <v>0.90349999999999997</v>
      </c>
      <c r="D45" s="128">
        <f>(1-(D34+D38))</f>
        <v>0.91849999999999998</v>
      </c>
      <c r="E45" s="117"/>
      <c r="F45" s="117"/>
      <c r="G45" s="117"/>
      <c r="H45" s="118"/>
    </row>
    <row r="46" spans="1:8" s="114" customFormat="1" ht="15.6" x14ac:dyDescent="0.3">
      <c r="A46" s="115"/>
      <c r="B46" s="340" t="s">
        <v>72</v>
      </c>
      <c r="C46" s="341">
        <f>(1+C43)/C45-1</f>
        <v>0.29457594244604324</v>
      </c>
      <c r="D46" s="341">
        <f>(1+D43)/D45-1</f>
        <v>0.20781216843113759</v>
      </c>
      <c r="E46" s="332"/>
      <c r="F46" s="332"/>
      <c r="G46" s="332"/>
      <c r="H46" s="333"/>
    </row>
    <row r="47" spans="1:8" s="114" customFormat="1" ht="15.6" x14ac:dyDescent="0.3">
      <c r="A47" s="115"/>
      <c r="B47" s="340"/>
      <c r="C47" s="341"/>
      <c r="D47" s="341"/>
      <c r="E47" s="332"/>
      <c r="F47" s="332"/>
      <c r="G47" s="332"/>
      <c r="H47" s="334"/>
    </row>
    <row r="48" spans="1:8" s="114" customFormat="1" ht="15.6" x14ac:dyDescent="0.3">
      <c r="A48" s="115"/>
      <c r="B48" s="117"/>
      <c r="C48" s="117"/>
      <c r="D48" s="117"/>
      <c r="E48" s="117"/>
      <c r="F48" s="117"/>
      <c r="G48" s="117"/>
      <c r="H48" s="118"/>
    </row>
    <row r="49" spans="1:8" s="114" customFormat="1" ht="16.2" thickBot="1" x14ac:dyDescent="0.35">
      <c r="A49" s="335"/>
      <c r="B49" s="336"/>
      <c r="C49" s="336"/>
      <c r="D49" s="336"/>
      <c r="E49" s="336"/>
      <c r="F49" s="336"/>
      <c r="G49" s="336"/>
      <c r="H49" s="337"/>
    </row>
    <row r="50" spans="1:8" s="114" customFormat="1" ht="15.6" x14ac:dyDescent="0.3">
      <c r="A50" s="130"/>
      <c r="B50" s="131"/>
      <c r="C50" s="131"/>
      <c r="D50" s="131"/>
      <c r="E50" s="131"/>
      <c r="F50" s="131"/>
      <c r="G50" s="131"/>
      <c r="H50" s="132"/>
    </row>
    <row r="51" spans="1:8" s="114" customFormat="1" ht="15.6" x14ac:dyDescent="0.3">
      <c r="A51" s="249"/>
      <c r="B51" s="131"/>
      <c r="C51" s="131"/>
      <c r="D51" s="131"/>
      <c r="E51" s="131"/>
      <c r="F51" s="131"/>
      <c r="G51" s="131"/>
      <c r="H51" s="132"/>
    </row>
    <row r="52" spans="1:8" s="114" customFormat="1" ht="15.6" x14ac:dyDescent="0.3">
      <c r="A52" s="338"/>
      <c r="B52" s="339"/>
      <c r="C52" s="131"/>
      <c r="D52" s="131"/>
      <c r="E52" s="131"/>
      <c r="F52" s="131"/>
      <c r="G52" s="131"/>
      <c r="H52" s="132"/>
    </row>
    <row r="53" spans="1:8" s="114" customFormat="1" ht="15.6" x14ac:dyDescent="0.3">
      <c r="A53" s="330" t="s">
        <v>151</v>
      </c>
      <c r="B53" s="331"/>
      <c r="C53" s="69"/>
      <c r="D53" s="69" t="s">
        <v>156</v>
      </c>
      <c r="E53" s="131"/>
      <c r="F53" s="131"/>
      <c r="G53" s="131"/>
      <c r="H53" s="132"/>
    </row>
    <row r="54" spans="1:8" x14ac:dyDescent="0.3">
      <c r="A54" s="330" t="s">
        <v>152</v>
      </c>
      <c r="B54" s="331"/>
      <c r="C54" s="69"/>
      <c r="D54" s="69"/>
      <c r="H54" s="113"/>
    </row>
    <row r="55" spans="1:8" x14ac:dyDescent="0.3">
      <c r="A55" s="250"/>
      <c r="B55" s="69"/>
      <c r="C55" s="69"/>
      <c r="D55" s="69"/>
      <c r="H55" s="113"/>
    </row>
    <row r="56" spans="1:8" x14ac:dyDescent="0.3">
      <c r="A56" s="250"/>
      <c r="B56" s="69"/>
      <c r="C56" s="69"/>
      <c r="D56" s="69"/>
      <c r="H56" s="113"/>
    </row>
    <row r="57" spans="1:8" x14ac:dyDescent="0.3">
      <c r="A57" s="250"/>
      <c r="B57" s="69"/>
      <c r="C57" s="69"/>
      <c r="D57" s="69"/>
      <c r="H57" s="113"/>
    </row>
    <row r="58" spans="1:8" x14ac:dyDescent="0.3">
      <c r="A58" s="328"/>
      <c r="B58" s="329"/>
      <c r="C58" s="69"/>
      <c r="D58" s="69"/>
      <c r="H58" s="113"/>
    </row>
    <row r="59" spans="1:8" x14ac:dyDescent="0.3">
      <c r="A59" s="330" t="s">
        <v>154</v>
      </c>
      <c r="B59" s="331"/>
      <c r="C59" s="69"/>
      <c r="D59" s="69"/>
      <c r="H59" s="113"/>
    </row>
    <row r="60" spans="1:8" x14ac:dyDescent="0.3">
      <c r="A60" s="330" t="s">
        <v>155</v>
      </c>
      <c r="B60" s="331"/>
      <c r="C60" s="69"/>
      <c r="D60" s="69"/>
      <c r="H60" s="113"/>
    </row>
    <row r="61" spans="1:8" ht="16.2" thickBot="1" x14ac:dyDescent="0.35">
      <c r="A61" s="129"/>
      <c r="B61" s="133"/>
      <c r="C61" s="133"/>
      <c r="D61" s="133"/>
      <c r="E61" s="133"/>
      <c r="F61" s="133"/>
      <c r="G61" s="133"/>
      <c r="H61" s="134"/>
    </row>
  </sheetData>
  <mergeCells count="41">
    <mergeCell ref="A10:E10"/>
    <mergeCell ref="F10:H10"/>
    <mergeCell ref="A3:H3"/>
    <mergeCell ref="A4:H4"/>
    <mergeCell ref="A5:H5"/>
    <mergeCell ref="A6:H6"/>
    <mergeCell ref="A7:H7"/>
    <mergeCell ref="A24:A25"/>
    <mergeCell ref="B24:B25"/>
    <mergeCell ref="A11:E11"/>
    <mergeCell ref="F11:H11"/>
    <mergeCell ref="A12:D12"/>
    <mergeCell ref="E12:H12"/>
    <mergeCell ref="A13:D13"/>
    <mergeCell ref="E13:E14"/>
    <mergeCell ref="F13:F14"/>
    <mergeCell ref="A14:D14"/>
    <mergeCell ref="A16:H16"/>
    <mergeCell ref="A19:H19"/>
    <mergeCell ref="A21:H21"/>
    <mergeCell ref="A22:H22"/>
    <mergeCell ref="A23:H23"/>
    <mergeCell ref="A39:H39"/>
    <mergeCell ref="A40:A41"/>
    <mergeCell ref="B40:B41"/>
    <mergeCell ref="C40:H40"/>
    <mergeCell ref="C41:H41"/>
    <mergeCell ref="A58:B58"/>
    <mergeCell ref="A59:B59"/>
    <mergeCell ref="A60:B60"/>
    <mergeCell ref="G46:G47"/>
    <mergeCell ref="H46:H47"/>
    <mergeCell ref="A49:H49"/>
    <mergeCell ref="A52:B52"/>
    <mergeCell ref="A53:B53"/>
    <mergeCell ref="A54:B54"/>
    <mergeCell ref="B46:B47"/>
    <mergeCell ref="C46:C47"/>
    <mergeCell ref="D46:D47"/>
    <mergeCell ref="E46:E47"/>
    <mergeCell ref="F46:F47"/>
  </mergeCells>
  <pageMargins left="0.511811024" right="0.511811024" top="0.78740157499999996" bottom="0.78740157499999996" header="0.31496062000000002" footer="0.31496062000000002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7329-0795-44B0-8076-EA75F43B213E}">
  <dimension ref="A1:W56"/>
  <sheetViews>
    <sheetView workbookViewId="0">
      <selection activeCell="E57" sqref="E57"/>
    </sheetView>
  </sheetViews>
  <sheetFormatPr defaultRowHeight="13.8" x14ac:dyDescent="0.3"/>
  <cols>
    <col min="1" max="1" width="6" style="135" customWidth="1"/>
    <col min="2" max="2" width="43" style="135" customWidth="1"/>
    <col min="3" max="3" width="11.44140625" style="136" customWidth="1"/>
    <col min="4" max="4" width="12.5546875" style="136" bestFit="1" customWidth="1"/>
    <col min="5" max="6" width="12" style="135" customWidth="1"/>
    <col min="7" max="7" width="15.88671875" style="135" customWidth="1"/>
    <col min="8" max="8" width="11.88671875" style="135" customWidth="1"/>
    <col min="9" max="9" width="11.6640625" style="135" customWidth="1"/>
    <col min="10" max="10" width="11.88671875" style="135" customWidth="1"/>
    <col min="11" max="11" width="8.88671875" style="135" customWidth="1"/>
    <col min="12" max="14" width="11.33203125" style="135" customWidth="1"/>
    <col min="15" max="15" width="8.5546875" style="135" customWidth="1"/>
    <col min="16" max="16" width="14" style="135" customWidth="1"/>
    <col min="17" max="17" width="9.109375" style="135"/>
    <col min="18" max="18" width="13.5546875" style="135" bestFit="1" customWidth="1"/>
    <col min="19" max="256" width="9.109375" style="135"/>
    <col min="257" max="257" width="6" style="135" customWidth="1"/>
    <col min="258" max="258" width="43" style="135" customWidth="1"/>
    <col min="259" max="259" width="11.44140625" style="135" customWidth="1"/>
    <col min="260" max="260" width="12.5546875" style="135" bestFit="1" customWidth="1"/>
    <col min="261" max="262" width="12" style="135" customWidth="1"/>
    <col min="263" max="263" width="15.88671875" style="135" customWidth="1"/>
    <col min="264" max="264" width="11.88671875" style="135" customWidth="1"/>
    <col min="265" max="265" width="11.6640625" style="135" customWidth="1"/>
    <col min="266" max="266" width="11.88671875" style="135" customWidth="1"/>
    <col min="267" max="267" width="8.88671875" style="135" customWidth="1"/>
    <col min="268" max="270" width="11.33203125" style="135" customWidth="1"/>
    <col min="271" max="271" width="8.5546875" style="135" customWidth="1"/>
    <col min="272" max="272" width="14" style="135" customWidth="1"/>
    <col min="273" max="273" width="9.109375" style="135"/>
    <col min="274" max="274" width="13.5546875" style="135" bestFit="1" customWidth="1"/>
    <col min="275" max="512" width="9.109375" style="135"/>
    <col min="513" max="513" width="6" style="135" customWidth="1"/>
    <col min="514" max="514" width="43" style="135" customWidth="1"/>
    <col min="515" max="515" width="11.44140625" style="135" customWidth="1"/>
    <col min="516" max="516" width="12.5546875" style="135" bestFit="1" customWidth="1"/>
    <col min="517" max="518" width="12" style="135" customWidth="1"/>
    <col min="519" max="519" width="15.88671875" style="135" customWidth="1"/>
    <col min="520" max="520" width="11.88671875" style="135" customWidth="1"/>
    <col min="521" max="521" width="11.6640625" style="135" customWidth="1"/>
    <col min="522" max="522" width="11.88671875" style="135" customWidth="1"/>
    <col min="523" max="523" width="8.88671875" style="135" customWidth="1"/>
    <col min="524" max="526" width="11.33203125" style="135" customWidth="1"/>
    <col min="527" max="527" width="8.5546875" style="135" customWidth="1"/>
    <col min="528" max="528" width="14" style="135" customWidth="1"/>
    <col min="529" max="529" width="9.109375" style="135"/>
    <col min="530" max="530" width="13.5546875" style="135" bestFit="1" customWidth="1"/>
    <col min="531" max="768" width="9.109375" style="135"/>
    <col min="769" max="769" width="6" style="135" customWidth="1"/>
    <col min="770" max="770" width="43" style="135" customWidth="1"/>
    <col min="771" max="771" width="11.44140625" style="135" customWidth="1"/>
    <col min="772" max="772" width="12.5546875" style="135" bestFit="1" customWidth="1"/>
    <col min="773" max="774" width="12" style="135" customWidth="1"/>
    <col min="775" max="775" width="15.88671875" style="135" customWidth="1"/>
    <col min="776" max="776" width="11.88671875" style="135" customWidth="1"/>
    <col min="777" max="777" width="11.6640625" style="135" customWidth="1"/>
    <col min="778" max="778" width="11.88671875" style="135" customWidth="1"/>
    <col min="779" max="779" width="8.88671875" style="135" customWidth="1"/>
    <col min="780" max="782" width="11.33203125" style="135" customWidth="1"/>
    <col min="783" max="783" width="8.5546875" style="135" customWidth="1"/>
    <col min="784" max="784" width="14" style="135" customWidth="1"/>
    <col min="785" max="785" width="9.109375" style="135"/>
    <col min="786" max="786" width="13.5546875" style="135" bestFit="1" customWidth="1"/>
    <col min="787" max="1024" width="9.109375" style="135"/>
    <col min="1025" max="1025" width="6" style="135" customWidth="1"/>
    <col min="1026" max="1026" width="43" style="135" customWidth="1"/>
    <col min="1027" max="1027" width="11.44140625" style="135" customWidth="1"/>
    <col min="1028" max="1028" width="12.5546875" style="135" bestFit="1" customWidth="1"/>
    <col min="1029" max="1030" width="12" style="135" customWidth="1"/>
    <col min="1031" max="1031" width="15.88671875" style="135" customWidth="1"/>
    <col min="1032" max="1032" width="11.88671875" style="135" customWidth="1"/>
    <col min="1033" max="1033" width="11.6640625" style="135" customWidth="1"/>
    <col min="1034" max="1034" width="11.88671875" style="135" customWidth="1"/>
    <col min="1035" max="1035" width="8.88671875" style="135" customWidth="1"/>
    <col min="1036" max="1038" width="11.33203125" style="135" customWidth="1"/>
    <col min="1039" max="1039" width="8.5546875" style="135" customWidth="1"/>
    <col min="1040" max="1040" width="14" style="135" customWidth="1"/>
    <col min="1041" max="1041" width="9.109375" style="135"/>
    <col min="1042" max="1042" width="13.5546875" style="135" bestFit="1" customWidth="1"/>
    <col min="1043" max="1280" width="9.109375" style="135"/>
    <col min="1281" max="1281" width="6" style="135" customWidth="1"/>
    <col min="1282" max="1282" width="43" style="135" customWidth="1"/>
    <col min="1283" max="1283" width="11.44140625" style="135" customWidth="1"/>
    <col min="1284" max="1284" width="12.5546875" style="135" bestFit="1" customWidth="1"/>
    <col min="1285" max="1286" width="12" style="135" customWidth="1"/>
    <col min="1287" max="1287" width="15.88671875" style="135" customWidth="1"/>
    <col min="1288" max="1288" width="11.88671875" style="135" customWidth="1"/>
    <col min="1289" max="1289" width="11.6640625" style="135" customWidth="1"/>
    <col min="1290" max="1290" width="11.88671875" style="135" customWidth="1"/>
    <col min="1291" max="1291" width="8.88671875" style="135" customWidth="1"/>
    <col min="1292" max="1294" width="11.33203125" style="135" customWidth="1"/>
    <col min="1295" max="1295" width="8.5546875" style="135" customWidth="1"/>
    <col min="1296" max="1296" width="14" style="135" customWidth="1"/>
    <col min="1297" max="1297" width="9.109375" style="135"/>
    <col min="1298" max="1298" width="13.5546875" style="135" bestFit="1" customWidth="1"/>
    <col min="1299" max="1536" width="9.109375" style="135"/>
    <col min="1537" max="1537" width="6" style="135" customWidth="1"/>
    <col min="1538" max="1538" width="43" style="135" customWidth="1"/>
    <col min="1539" max="1539" width="11.44140625" style="135" customWidth="1"/>
    <col min="1540" max="1540" width="12.5546875" style="135" bestFit="1" customWidth="1"/>
    <col min="1541" max="1542" width="12" style="135" customWidth="1"/>
    <col min="1543" max="1543" width="15.88671875" style="135" customWidth="1"/>
    <col min="1544" max="1544" width="11.88671875" style="135" customWidth="1"/>
    <col min="1545" max="1545" width="11.6640625" style="135" customWidth="1"/>
    <col min="1546" max="1546" width="11.88671875" style="135" customWidth="1"/>
    <col min="1547" max="1547" width="8.88671875" style="135" customWidth="1"/>
    <col min="1548" max="1550" width="11.33203125" style="135" customWidth="1"/>
    <col min="1551" max="1551" width="8.5546875" style="135" customWidth="1"/>
    <col min="1552" max="1552" width="14" style="135" customWidth="1"/>
    <col min="1553" max="1553" width="9.109375" style="135"/>
    <col min="1554" max="1554" width="13.5546875" style="135" bestFit="1" customWidth="1"/>
    <col min="1555" max="1792" width="9.109375" style="135"/>
    <col min="1793" max="1793" width="6" style="135" customWidth="1"/>
    <col min="1794" max="1794" width="43" style="135" customWidth="1"/>
    <col min="1795" max="1795" width="11.44140625" style="135" customWidth="1"/>
    <col min="1796" max="1796" width="12.5546875" style="135" bestFit="1" customWidth="1"/>
    <col min="1797" max="1798" width="12" style="135" customWidth="1"/>
    <col min="1799" max="1799" width="15.88671875" style="135" customWidth="1"/>
    <col min="1800" max="1800" width="11.88671875" style="135" customWidth="1"/>
    <col min="1801" max="1801" width="11.6640625" style="135" customWidth="1"/>
    <col min="1802" max="1802" width="11.88671875" style="135" customWidth="1"/>
    <col min="1803" max="1803" width="8.88671875" style="135" customWidth="1"/>
    <col min="1804" max="1806" width="11.33203125" style="135" customWidth="1"/>
    <col min="1807" max="1807" width="8.5546875" style="135" customWidth="1"/>
    <col min="1808" max="1808" width="14" style="135" customWidth="1"/>
    <col min="1809" max="1809" width="9.109375" style="135"/>
    <col min="1810" max="1810" width="13.5546875" style="135" bestFit="1" customWidth="1"/>
    <col min="1811" max="2048" width="9.109375" style="135"/>
    <col min="2049" max="2049" width="6" style="135" customWidth="1"/>
    <col min="2050" max="2050" width="43" style="135" customWidth="1"/>
    <col min="2051" max="2051" width="11.44140625" style="135" customWidth="1"/>
    <col min="2052" max="2052" width="12.5546875" style="135" bestFit="1" customWidth="1"/>
    <col min="2053" max="2054" width="12" style="135" customWidth="1"/>
    <col min="2055" max="2055" width="15.88671875" style="135" customWidth="1"/>
    <col min="2056" max="2056" width="11.88671875" style="135" customWidth="1"/>
    <col min="2057" max="2057" width="11.6640625" style="135" customWidth="1"/>
    <col min="2058" max="2058" width="11.88671875" style="135" customWidth="1"/>
    <col min="2059" max="2059" width="8.88671875" style="135" customWidth="1"/>
    <col min="2060" max="2062" width="11.33203125" style="135" customWidth="1"/>
    <col min="2063" max="2063" width="8.5546875" style="135" customWidth="1"/>
    <col min="2064" max="2064" width="14" style="135" customWidth="1"/>
    <col min="2065" max="2065" width="9.109375" style="135"/>
    <col min="2066" max="2066" width="13.5546875" style="135" bestFit="1" customWidth="1"/>
    <col min="2067" max="2304" width="9.109375" style="135"/>
    <col min="2305" max="2305" width="6" style="135" customWidth="1"/>
    <col min="2306" max="2306" width="43" style="135" customWidth="1"/>
    <col min="2307" max="2307" width="11.44140625" style="135" customWidth="1"/>
    <col min="2308" max="2308" width="12.5546875" style="135" bestFit="1" customWidth="1"/>
    <col min="2309" max="2310" width="12" style="135" customWidth="1"/>
    <col min="2311" max="2311" width="15.88671875" style="135" customWidth="1"/>
    <col min="2312" max="2312" width="11.88671875" style="135" customWidth="1"/>
    <col min="2313" max="2313" width="11.6640625" style="135" customWidth="1"/>
    <col min="2314" max="2314" width="11.88671875" style="135" customWidth="1"/>
    <col min="2315" max="2315" width="8.88671875" style="135" customWidth="1"/>
    <col min="2316" max="2318" width="11.33203125" style="135" customWidth="1"/>
    <col min="2319" max="2319" width="8.5546875" style="135" customWidth="1"/>
    <col min="2320" max="2320" width="14" style="135" customWidth="1"/>
    <col min="2321" max="2321" width="9.109375" style="135"/>
    <col min="2322" max="2322" width="13.5546875" style="135" bestFit="1" customWidth="1"/>
    <col min="2323" max="2560" width="9.109375" style="135"/>
    <col min="2561" max="2561" width="6" style="135" customWidth="1"/>
    <col min="2562" max="2562" width="43" style="135" customWidth="1"/>
    <col min="2563" max="2563" width="11.44140625" style="135" customWidth="1"/>
    <col min="2564" max="2564" width="12.5546875" style="135" bestFit="1" customWidth="1"/>
    <col min="2565" max="2566" width="12" style="135" customWidth="1"/>
    <col min="2567" max="2567" width="15.88671875" style="135" customWidth="1"/>
    <col min="2568" max="2568" width="11.88671875" style="135" customWidth="1"/>
    <col min="2569" max="2569" width="11.6640625" style="135" customWidth="1"/>
    <col min="2570" max="2570" width="11.88671875" style="135" customWidth="1"/>
    <col min="2571" max="2571" width="8.88671875" style="135" customWidth="1"/>
    <col min="2572" max="2574" width="11.33203125" style="135" customWidth="1"/>
    <col min="2575" max="2575" width="8.5546875" style="135" customWidth="1"/>
    <col min="2576" max="2576" width="14" style="135" customWidth="1"/>
    <col min="2577" max="2577" width="9.109375" style="135"/>
    <col min="2578" max="2578" width="13.5546875" style="135" bestFit="1" customWidth="1"/>
    <col min="2579" max="2816" width="9.109375" style="135"/>
    <col min="2817" max="2817" width="6" style="135" customWidth="1"/>
    <col min="2818" max="2818" width="43" style="135" customWidth="1"/>
    <col min="2819" max="2819" width="11.44140625" style="135" customWidth="1"/>
    <col min="2820" max="2820" width="12.5546875" style="135" bestFit="1" customWidth="1"/>
    <col min="2821" max="2822" width="12" style="135" customWidth="1"/>
    <col min="2823" max="2823" width="15.88671875" style="135" customWidth="1"/>
    <col min="2824" max="2824" width="11.88671875" style="135" customWidth="1"/>
    <col min="2825" max="2825" width="11.6640625" style="135" customWidth="1"/>
    <col min="2826" max="2826" width="11.88671875" style="135" customWidth="1"/>
    <col min="2827" max="2827" width="8.88671875" style="135" customWidth="1"/>
    <col min="2828" max="2830" width="11.33203125" style="135" customWidth="1"/>
    <col min="2831" max="2831" width="8.5546875" style="135" customWidth="1"/>
    <col min="2832" max="2832" width="14" style="135" customWidth="1"/>
    <col min="2833" max="2833" width="9.109375" style="135"/>
    <col min="2834" max="2834" width="13.5546875" style="135" bestFit="1" customWidth="1"/>
    <col min="2835" max="3072" width="9.109375" style="135"/>
    <col min="3073" max="3073" width="6" style="135" customWidth="1"/>
    <col min="3074" max="3074" width="43" style="135" customWidth="1"/>
    <col min="3075" max="3075" width="11.44140625" style="135" customWidth="1"/>
    <col min="3076" max="3076" width="12.5546875" style="135" bestFit="1" customWidth="1"/>
    <col min="3077" max="3078" width="12" style="135" customWidth="1"/>
    <col min="3079" max="3079" width="15.88671875" style="135" customWidth="1"/>
    <col min="3080" max="3080" width="11.88671875" style="135" customWidth="1"/>
    <col min="3081" max="3081" width="11.6640625" style="135" customWidth="1"/>
    <col min="3082" max="3082" width="11.88671875" style="135" customWidth="1"/>
    <col min="3083" max="3083" width="8.88671875" style="135" customWidth="1"/>
    <col min="3084" max="3086" width="11.33203125" style="135" customWidth="1"/>
    <col min="3087" max="3087" width="8.5546875" style="135" customWidth="1"/>
    <col min="3088" max="3088" width="14" style="135" customWidth="1"/>
    <col min="3089" max="3089" width="9.109375" style="135"/>
    <col min="3090" max="3090" width="13.5546875" style="135" bestFit="1" customWidth="1"/>
    <col min="3091" max="3328" width="9.109375" style="135"/>
    <col min="3329" max="3329" width="6" style="135" customWidth="1"/>
    <col min="3330" max="3330" width="43" style="135" customWidth="1"/>
    <col min="3331" max="3331" width="11.44140625" style="135" customWidth="1"/>
    <col min="3332" max="3332" width="12.5546875" style="135" bestFit="1" customWidth="1"/>
    <col min="3333" max="3334" width="12" style="135" customWidth="1"/>
    <col min="3335" max="3335" width="15.88671875" style="135" customWidth="1"/>
    <col min="3336" max="3336" width="11.88671875" style="135" customWidth="1"/>
    <col min="3337" max="3337" width="11.6640625" style="135" customWidth="1"/>
    <col min="3338" max="3338" width="11.88671875" style="135" customWidth="1"/>
    <col min="3339" max="3339" width="8.88671875" style="135" customWidth="1"/>
    <col min="3340" max="3342" width="11.33203125" style="135" customWidth="1"/>
    <col min="3343" max="3343" width="8.5546875" style="135" customWidth="1"/>
    <col min="3344" max="3344" width="14" style="135" customWidth="1"/>
    <col min="3345" max="3345" width="9.109375" style="135"/>
    <col min="3346" max="3346" width="13.5546875" style="135" bestFit="1" customWidth="1"/>
    <col min="3347" max="3584" width="9.109375" style="135"/>
    <col min="3585" max="3585" width="6" style="135" customWidth="1"/>
    <col min="3586" max="3586" width="43" style="135" customWidth="1"/>
    <col min="3587" max="3587" width="11.44140625" style="135" customWidth="1"/>
    <col min="3588" max="3588" width="12.5546875" style="135" bestFit="1" customWidth="1"/>
    <col min="3589" max="3590" width="12" style="135" customWidth="1"/>
    <col min="3591" max="3591" width="15.88671875" style="135" customWidth="1"/>
    <col min="3592" max="3592" width="11.88671875" style="135" customWidth="1"/>
    <col min="3593" max="3593" width="11.6640625" style="135" customWidth="1"/>
    <col min="3594" max="3594" width="11.88671875" style="135" customWidth="1"/>
    <col min="3595" max="3595" width="8.88671875" style="135" customWidth="1"/>
    <col min="3596" max="3598" width="11.33203125" style="135" customWidth="1"/>
    <col min="3599" max="3599" width="8.5546875" style="135" customWidth="1"/>
    <col min="3600" max="3600" width="14" style="135" customWidth="1"/>
    <col min="3601" max="3601" width="9.109375" style="135"/>
    <col min="3602" max="3602" width="13.5546875" style="135" bestFit="1" customWidth="1"/>
    <col min="3603" max="3840" width="9.109375" style="135"/>
    <col min="3841" max="3841" width="6" style="135" customWidth="1"/>
    <col min="3842" max="3842" width="43" style="135" customWidth="1"/>
    <col min="3843" max="3843" width="11.44140625" style="135" customWidth="1"/>
    <col min="3844" max="3844" width="12.5546875" style="135" bestFit="1" customWidth="1"/>
    <col min="3845" max="3846" width="12" style="135" customWidth="1"/>
    <col min="3847" max="3847" width="15.88671875" style="135" customWidth="1"/>
    <col min="3848" max="3848" width="11.88671875" style="135" customWidth="1"/>
    <col min="3849" max="3849" width="11.6640625" style="135" customWidth="1"/>
    <col min="3850" max="3850" width="11.88671875" style="135" customWidth="1"/>
    <col min="3851" max="3851" width="8.88671875" style="135" customWidth="1"/>
    <col min="3852" max="3854" width="11.33203125" style="135" customWidth="1"/>
    <col min="3855" max="3855" width="8.5546875" style="135" customWidth="1"/>
    <col min="3856" max="3856" width="14" style="135" customWidth="1"/>
    <col min="3857" max="3857" width="9.109375" style="135"/>
    <col min="3858" max="3858" width="13.5546875" style="135" bestFit="1" customWidth="1"/>
    <col min="3859" max="4096" width="9.109375" style="135"/>
    <col min="4097" max="4097" width="6" style="135" customWidth="1"/>
    <col min="4098" max="4098" width="43" style="135" customWidth="1"/>
    <col min="4099" max="4099" width="11.44140625" style="135" customWidth="1"/>
    <col min="4100" max="4100" width="12.5546875" style="135" bestFit="1" customWidth="1"/>
    <col min="4101" max="4102" width="12" style="135" customWidth="1"/>
    <col min="4103" max="4103" width="15.88671875" style="135" customWidth="1"/>
    <col min="4104" max="4104" width="11.88671875" style="135" customWidth="1"/>
    <col min="4105" max="4105" width="11.6640625" style="135" customWidth="1"/>
    <col min="4106" max="4106" width="11.88671875" style="135" customWidth="1"/>
    <col min="4107" max="4107" width="8.88671875" style="135" customWidth="1"/>
    <col min="4108" max="4110" width="11.33203125" style="135" customWidth="1"/>
    <col min="4111" max="4111" width="8.5546875" style="135" customWidth="1"/>
    <col min="4112" max="4112" width="14" style="135" customWidth="1"/>
    <col min="4113" max="4113" width="9.109375" style="135"/>
    <col min="4114" max="4114" width="13.5546875" style="135" bestFit="1" customWidth="1"/>
    <col min="4115" max="4352" width="9.109375" style="135"/>
    <col min="4353" max="4353" width="6" style="135" customWidth="1"/>
    <col min="4354" max="4354" width="43" style="135" customWidth="1"/>
    <col min="4355" max="4355" width="11.44140625" style="135" customWidth="1"/>
    <col min="4356" max="4356" width="12.5546875" style="135" bestFit="1" customWidth="1"/>
    <col min="4357" max="4358" width="12" style="135" customWidth="1"/>
    <col min="4359" max="4359" width="15.88671875" style="135" customWidth="1"/>
    <col min="4360" max="4360" width="11.88671875" style="135" customWidth="1"/>
    <col min="4361" max="4361" width="11.6640625" style="135" customWidth="1"/>
    <col min="4362" max="4362" width="11.88671875" style="135" customWidth="1"/>
    <col min="4363" max="4363" width="8.88671875" style="135" customWidth="1"/>
    <col min="4364" max="4366" width="11.33203125" style="135" customWidth="1"/>
    <col min="4367" max="4367" width="8.5546875" style="135" customWidth="1"/>
    <col min="4368" max="4368" width="14" style="135" customWidth="1"/>
    <col min="4369" max="4369" width="9.109375" style="135"/>
    <col min="4370" max="4370" width="13.5546875" style="135" bestFit="1" customWidth="1"/>
    <col min="4371" max="4608" width="9.109375" style="135"/>
    <col min="4609" max="4609" width="6" style="135" customWidth="1"/>
    <col min="4610" max="4610" width="43" style="135" customWidth="1"/>
    <col min="4611" max="4611" width="11.44140625" style="135" customWidth="1"/>
    <col min="4612" max="4612" width="12.5546875" style="135" bestFit="1" customWidth="1"/>
    <col min="4613" max="4614" width="12" style="135" customWidth="1"/>
    <col min="4615" max="4615" width="15.88671875" style="135" customWidth="1"/>
    <col min="4616" max="4616" width="11.88671875" style="135" customWidth="1"/>
    <col min="4617" max="4617" width="11.6640625" style="135" customWidth="1"/>
    <col min="4618" max="4618" width="11.88671875" style="135" customWidth="1"/>
    <col min="4619" max="4619" width="8.88671875" style="135" customWidth="1"/>
    <col min="4620" max="4622" width="11.33203125" style="135" customWidth="1"/>
    <col min="4623" max="4623" width="8.5546875" style="135" customWidth="1"/>
    <col min="4624" max="4624" width="14" style="135" customWidth="1"/>
    <col min="4625" max="4625" width="9.109375" style="135"/>
    <col min="4626" max="4626" width="13.5546875" style="135" bestFit="1" customWidth="1"/>
    <col min="4627" max="4864" width="9.109375" style="135"/>
    <col min="4865" max="4865" width="6" style="135" customWidth="1"/>
    <col min="4866" max="4866" width="43" style="135" customWidth="1"/>
    <col min="4867" max="4867" width="11.44140625" style="135" customWidth="1"/>
    <col min="4868" max="4868" width="12.5546875" style="135" bestFit="1" customWidth="1"/>
    <col min="4869" max="4870" width="12" style="135" customWidth="1"/>
    <col min="4871" max="4871" width="15.88671875" style="135" customWidth="1"/>
    <col min="4872" max="4872" width="11.88671875" style="135" customWidth="1"/>
    <col min="4873" max="4873" width="11.6640625" style="135" customWidth="1"/>
    <col min="4874" max="4874" width="11.88671875" style="135" customWidth="1"/>
    <col min="4875" max="4875" width="8.88671875" style="135" customWidth="1"/>
    <col min="4876" max="4878" width="11.33203125" style="135" customWidth="1"/>
    <col min="4879" max="4879" width="8.5546875" style="135" customWidth="1"/>
    <col min="4880" max="4880" width="14" style="135" customWidth="1"/>
    <col min="4881" max="4881" width="9.109375" style="135"/>
    <col min="4882" max="4882" width="13.5546875" style="135" bestFit="1" customWidth="1"/>
    <col min="4883" max="5120" width="9.109375" style="135"/>
    <col min="5121" max="5121" width="6" style="135" customWidth="1"/>
    <col min="5122" max="5122" width="43" style="135" customWidth="1"/>
    <col min="5123" max="5123" width="11.44140625" style="135" customWidth="1"/>
    <col min="5124" max="5124" width="12.5546875" style="135" bestFit="1" customWidth="1"/>
    <col min="5125" max="5126" width="12" style="135" customWidth="1"/>
    <col min="5127" max="5127" width="15.88671875" style="135" customWidth="1"/>
    <col min="5128" max="5128" width="11.88671875" style="135" customWidth="1"/>
    <col min="5129" max="5129" width="11.6640625" style="135" customWidth="1"/>
    <col min="5130" max="5130" width="11.88671875" style="135" customWidth="1"/>
    <col min="5131" max="5131" width="8.88671875" style="135" customWidth="1"/>
    <col min="5132" max="5134" width="11.33203125" style="135" customWidth="1"/>
    <col min="5135" max="5135" width="8.5546875" style="135" customWidth="1"/>
    <col min="5136" max="5136" width="14" style="135" customWidth="1"/>
    <col min="5137" max="5137" width="9.109375" style="135"/>
    <col min="5138" max="5138" width="13.5546875" style="135" bestFit="1" customWidth="1"/>
    <col min="5139" max="5376" width="9.109375" style="135"/>
    <col min="5377" max="5377" width="6" style="135" customWidth="1"/>
    <col min="5378" max="5378" width="43" style="135" customWidth="1"/>
    <col min="5379" max="5379" width="11.44140625" style="135" customWidth="1"/>
    <col min="5380" max="5380" width="12.5546875" style="135" bestFit="1" customWidth="1"/>
    <col min="5381" max="5382" width="12" style="135" customWidth="1"/>
    <col min="5383" max="5383" width="15.88671875" style="135" customWidth="1"/>
    <col min="5384" max="5384" width="11.88671875" style="135" customWidth="1"/>
    <col min="5385" max="5385" width="11.6640625" style="135" customWidth="1"/>
    <col min="5386" max="5386" width="11.88671875" style="135" customWidth="1"/>
    <col min="5387" max="5387" width="8.88671875" style="135" customWidth="1"/>
    <col min="5388" max="5390" width="11.33203125" style="135" customWidth="1"/>
    <col min="5391" max="5391" width="8.5546875" style="135" customWidth="1"/>
    <col min="5392" max="5392" width="14" style="135" customWidth="1"/>
    <col min="5393" max="5393" width="9.109375" style="135"/>
    <col min="5394" max="5394" width="13.5546875" style="135" bestFit="1" customWidth="1"/>
    <col min="5395" max="5632" width="9.109375" style="135"/>
    <col min="5633" max="5633" width="6" style="135" customWidth="1"/>
    <col min="5634" max="5634" width="43" style="135" customWidth="1"/>
    <col min="5635" max="5635" width="11.44140625" style="135" customWidth="1"/>
    <col min="5636" max="5636" width="12.5546875" style="135" bestFit="1" customWidth="1"/>
    <col min="5637" max="5638" width="12" style="135" customWidth="1"/>
    <col min="5639" max="5639" width="15.88671875" style="135" customWidth="1"/>
    <col min="5640" max="5640" width="11.88671875" style="135" customWidth="1"/>
    <col min="5641" max="5641" width="11.6640625" style="135" customWidth="1"/>
    <col min="5642" max="5642" width="11.88671875" style="135" customWidth="1"/>
    <col min="5643" max="5643" width="8.88671875" style="135" customWidth="1"/>
    <col min="5644" max="5646" width="11.33203125" style="135" customWidth="1"/>
    <col min="5647" max="5647" width="8.5546875" style="135" customWidth="1"/>
    <col min="5648" max="5648" width="14" style="135" customWidth="1"/>
    <col min="5649" max="5649" width="9.109375" style="135"/>
    <col min="5650" max="5650" width="13.5546875" style="135" bestFit="1" customWidth="1"/>
    <col min="5651" max="5888" width="9.109375" style="135"/>
    <col min="5889" max="5889" width="6" style="135" customWidth="1"/>
    <col min="5890" max="5890" width="43" style="135" customWidth="1"/>
    <col min="5891" max="5891" width="11.44140625" style="135" customWidth="1"/>
    <col min="5892" max="5892" width="12.5546875" style="135" bestFit="1" customWidth="1"/>
    <col min="5893" max="5894" width="12" style="135" customWidth="1"/>
    <col min="5895" max="5895" width="15.88671875" style="135" customWidth="1"/>
    <col min="5896" max="5896" width="11.88671875" style="135" customWidth="1"/>
    <col min="5897" max="5897" width="11.6640625" style="135" customWidth="1"/>
    <col min="5898" max="5898" width="11.88671875" style="135" customWidth="1"/>
    <col min="5899" max="5899" width="8.88671875" style="135" customWidth="1"/>
    <col min="5900" max="5902" width="11.33203125" style="135" customWidth="1"/>
    <col min="5903" max="5903" width="8.5546875" style="135" customWidth="1"/>
    <col min="5904" max="5904" width="14" style="135" customWidth="1"/>
    <col min="5905" max="5905" width="9.109375" style="135"/>
    <col min="5906" max="5906" width="13.5546875" style="135" bestFit="1" customWidth="1"/>
    <col min="5907" max="6144" width="9.109375" style="135"/>
    <col min="6145" max="6145" width="6" style="135" customWidth="1"/>
    <col min="6146" max="6146" width="43" style="135" customWidth="1"/>
    <col min="6147" max="6147" width="11.44140625" style="135" customWidth="1"/>
    <col min="6148" max="6148" width="12.5546875" style="135" bestFit="1" customWidth="1"/>
    <col min="6149" max="6150" width="12" style="135" customWidth="1"/>
    <col min="6151" max="6151" width="15.88671875" style="135" customWidth="1"/>
    <col min="6152" max="6152" width="11.88671875" style="135" customWidth="1"/>
    <col min="6153" max="6153" width="11.6640625" style="135" customWidth="1"/>
    <col min="6154" max="6154" width="11.88671875" style="135" customWidth="1"/>
    <col min="6155" max="6155" width="8.88671875" style="135" customWidth="1"/>
    <col min="6156" max="6158" width="11.33203125" style="135" customWidth="1"/>
    <col min="6159" max="6159" width="8.5546875" style="135" customWidth="1"/>
    <col min="6160" max="6160" width="14" style="135" customWidth="1"/>
    <col min="6161" max="6161" width="9.109375" style="135"/>
    <col min="6162" max="6162" width="13.5546875" style="135" bestFit="1" customWidth="1"/>
    <col min="6163" max="6400" width="9.109375" style="135"/>
    <col min="6401" max="6401" width="6" style="135" customWidth="1"/>
    <col min="6402" max="6402" width="43" style="135" customWidth="1"/>
    <col min="6403" max="6403" width="11.44140625" style="135" customWidth="1"/>
    <col min="6404" max="6404" width="12.5546875" style="135" bestFit="1" customWidth="1"/>
    <col min="6405" max="6406" width="12" style="135" customWidth="1"/>
    <col min="6407" max="6407" width="15.88671875" style="135" customWidth="1"/>
    <col min="6408" max="6408" width="11.88671875" style="135" customWidth="1"/>
    <col min="6409" max="6409" width="11.6640625" style="135" customWidth="1"/>
    <col min="6410" max="6410" width="11.88671875" style="135" customWidth="1"/>
    <col min="6411" max="6411" width="8.88671875" style="135" customWidth="1"/>
    <col min="6412" max="6414" width="11.33203125" style="135" customWidth="1"/>
    <col min="6415" max="6415" width="8.5546875" style="135" customWidth="1"/>
    <col min="6416" max="6416" width="14" style="135" customWidth="1"/>
    <col min="6417" max="6417" width="9.109375" style="135"/>
    <col min="6418" max="6418" width="13.5546875" style="135" bestFit="1" customWidth="1"/>
    <col min="6419" max="6656" width="9.109375" style="135"/>
    <col min="6657" max="6657" width="6" style="135" customWidth="1"/>
    <col min="6658" max="6658" width="43" style="135" customWidth="1"/>
    <col min="6659" max="6659" width="11.44140625" style="135" customWidth="1"/>
    <col min="6660" max="6660" width="12.5546875" style="135" bestFit="1" customWidth="1"/>
    <col min="6661" max="6662" width="12" style="135" customWidth="1"/>
    <col min="6663" max="6663" width="15.88671875" style="135" customWidth="1"/>
    <col min="6664" max="6664" width="11.88671875" style="135" customWidth="1"/>
    <col min="6665" max="6665" width="11.6640625" style="135" customWidth="1"/>
    <col min="6666" max="6666" width="11.88671875" style="135" customWidth="1"/>
    <col min="6667" max="6667" width="8.88671875" style="135" customWidth="1"/>
    <col min="6668" max="6670" width="11.33203125" style="135" customWidth="1"/>
    <col min="6671" max="6671" width="8.5546875" style="135" customWidth="1"/>
    <col min="6672" max="6672" width="14" style="135" customWidth="1"/>
    <col min="6673" max="6673" width="9.109375" style="135"/>
    <col min="6674" max="6674" width="13.5546875" style="135" bestFit="1" customWidth="1"/>
    <col min="6675" max="6912" width="9.109375" style="135"/>
    <col min="6913" max="6913" width="6" style="135" customWidth="1"/>
    <col min="6914" max="6914" width="43" style="135" customWidth="1"/>
    <col min="6915" max="6915" width="11.44140625" style="135" customWidth="1"/>
    <col min="6916" max="6916" width="12.5546875" style="135" bestFit="1" customWidth="1"/>
    <col min="6917" max="6918" width="12" style="135" customWidth="1"/>
    <col min="6919" max="6919" width="15.88671875" style="135" customWidth="1"/>
    <col min="6920" max="6920" width="11.88671875" style="135" customWidth="1"/>
    <col min="6921" max="6921" width="11.6640625" style="135" customWidth="1"/>
    <col min="6922" max="6922" width="11.88671875" style="135" customWidth="1"/>
    <col min="6923" max="6923" width="8.88671875" style="135" customWidth="1"/>
    <col min="6924" max="6926" width="11.33203125" style="135" customWidth="1"/>
    <col min="6927" max="6927" width="8.5546875" style="135" customWidth="1"/>
    <col min="6928" max="6928" width="14" style="135" customWidth="1"/>
    <col min="6929" max="6929" width="9.109375" style="135"/>
    <col min="6930" max="6930" width="13.5546875" style="135" bestFit="1" customWidth="1"/>
    <col min="6931" max="7168" width="9.109375" style="135"/>
    <col min="7169" max="7169" width="6" style="135" customWidth="1"/>
    <col min="7170" max="7170" width="43" style="135" customWidth="1"/>
    <col min="7171" max="7171" width="11.44140625" style="135" customWidth="1"/>
    <col min="7172" max="7172" width="12.5546875" style="135" bestFit="1" customWidth="1"/>
    <col min="7173" max="7174" width="12" style="135" customWidth="1"/>
    <col min="7175" max="7175" width="15.88671875" style="135" customWidth="1"/>
    <col min="7176" max="7176" width="11.88671875" style="135" customWidth="1"/>
    <col min="7177" max="7177" width="11.6640625" style="135" customWidth="1"/>
    <col min="7178" max="7178" width="11.88671875" style="135" customWidth="1"/>
    <col min="7179" max="7179" width="8.88671875" style="135" customWidth="1"/>
    <col min="7180" max="7182" width="11.33203125" style="135" customWidth="1"/>
    <col min="7183" max="7183" width="8.5546875" style="135" customWidth="1"/>
    <col min="7184" max="7184" width="14" style="135" customWidth="1"/>
    <col min="7185" max="7185" width="9.109375" style="135"/>
    <col min="7186" max="7186" width="13.5546875" style="135" bestFit="1" customWidth="1"/>
    <col min="7187" max="7424" width="9.109375" style="135"/>
    <col min="7425" max="7425" width="6" style="135" customWidth="1"/>
    <col min="7426" max="7426" width="43" style="135" customWidth="1"/>
    <col min="7427" max="7427" width="11.44140625" style="135" customWidth="1"/>
    <col min="7428" max="7428" width="12.5546875" style="135" bestFit="1" customWidth="1"/>
    <col min="7429" max="7430" width="12" style="135" customWidth="1"/>
    <col min="7431" max="7431" width="15.88671875" style="135" customWidth="1"/>
    <col min="7432" max="7432" width="11.88671875" style="135" customWidth="1"/>
    <col min="7433" max="7433" width="11.6640625" style="135" customWidth="1"/>
    <col min="7434" max="7434" width="11.88671875" style="135" customWidth="1"/>
    <col min="7435" max="7435" width="8.88671875" style="135" customWidth="1"/>
    <col min="7436" max="7438" width="11.33203125" style="135" customWidth="1"/>
    <col min="7439" max="7439" width="8.5546875" style="135" customWidth="1"/>
    <col min="7440" max="7440" width="14" style="135" customWidth="1"/>
    <col min="7441" max="7441" width="9.109375" style="135"/>
    <col min="7442" max="7442" width="13.5546875" style="135" bestFit="1" customWidth="1"/>
    <col min="7443" max="7680" width="9.109375" style="135"/>
    <col min="7681" max="7681" width="6" style="135" customWidth="1"/>
    <col min="7682" max="7682" width="43" style="135" customWidth="1"/>
    <col min="7683" max="7683" width="11.44140625" style="135" customWidth="1"/>
    <col min="7684" max="7684" width="12.5546875" style="135" bestFit="1" customWidth="1"/>
    <col min="7685" max="7686" width="12" style="135" customWidth="1"/>
    <col min="7687" max="7687" width="15.88671875" style="135" customWidth="1"/>
    <col min="7688" max="7688" width="11.88671875" style="135" customWidth="1"/>
    <col min="7689" max="7689" width="11.6640625" style="135" customWidth="1"/>
    <col min="7690" max="7690" width="11.88671875" style="135" customWidth="1"/>
    <col min="7691" max="7691" width="8.88671875" style="135" customWidth="1"/>
    <col min="7692" max="7694" width="11.33203125" style="135" customWidth="1"/>
    <col min="7695" max="7695" width="8.5546875" style="135" customWidth="1"/>
    <col min="7696" max="7696" width="14" style="135" customWidth="1"/>
    <col min="7697" max="7697" width="9.109375" style="135"/>
    <col min="7698" max="7698" width="13.5546875" style="135" bestFit="1" customWidth="1"/>
    <col min="7699" max="7936" width="9.109375" style="135"/>
    <col min="7937" max="7937" width="6" style="135" customWidth="1"/>
    <col min="7938" max="7938" width="43" style="135" customWidth="1"/>
    <col min="7939" max="7939" width="11.44140625" style="135" customWidth="1"/>
    <col min="7940" max="7940" width="12.5546875" style="135" bestFit="1" customWidth="1"/>
    <col min="7941" max="7942" width="12" style="135" customWidth="1"/>
    <col min="7943" max="7943" width="15.88671875" style="135" customWidth="1"/>
    <col min="7944" max="7944" width="11.88671875" style="135" customWidth="1"/>
    <col min="7945" max="7945" width="11.6640625" style="135" customWidth="1"/>
    <col min="7946" max="7946" width="11.88671875" style="135" customWidth="1"/>
    <col min="7947" max="7947" width="8.88671875" style="135" customWidth="1"/>
    <col min="7948" max="7950" width="11.33203125" style="135" customWidth="1"/>
    <col min="7951" max="7951" width="8.5546875" style="135" customWidth="1"/>
    <col min="7952" max="7952" width="14" style="135" customWidth="1"/>
    <col min="7953" max="7953" width="9.109375" style="135"/>
    <col min="7954" max="7954" width="13.5546875" style="135" bestFit="1" customWidth="1"/>
    <col min="7955" max="8192" width="9.109375" style="135"/>
    <col min="8193" max="8193" width="6" style="135" customWidth="1"/>
    <col min="8194" max="8194" width="43" style="135" customWidth="1"/>
    <col min="8195" max="8195" width="11.44140625" style="135" customWidth="1"/>
    <col min="8196" max="8196" width="12.5546875" style="135" bestFit="1" customWidth="1"/>
    <col min="8197" max="8198" width="12" style="135" customWidth="1"/>
    <col min="8199" max="8199" width="15.88671875" style="135" customWidth="1"/>
    <col min="8200" max="8200" width="11.88671875" style="135" customWidth="1"/>
    <col min="8201" max="8201" width="11.6640625" style="135" customWidth="1"/>
    <col min="8202" max="8202" width="11.88671875" style="135" customWidth="1"/>
    <col min="8203" max="8203" width="8.88671875" style="135" customWidth="1"/>
    <col min="8204" max="8206" width="11.33203125" style="135" customWidth="1"/>
    <col min="8207" max="8207" width="8.5546875" style="135" customWidth="1"/>
    <col min="8208" max="8208" width="14" style="135" customWidth="1"/>
    <col min="8209" max="8209" width="9.109375" style="135"/>
    <col min="8210" max="8210" width="13.5546875" style="135" bestFit="1" customWidth="1"/>
    <col min="8211" max="8448" width="9.109375" style="135"/>
    <col min="8449" max="8449" width="6" style="135" customWidth="1"/>
    <col min="8450" max="8450" width="43" style="135" customWidth="1"/>
    <col min="8451" max="8451" width="11.44140625" style="135" customWidth="1"/>
    <col min="8452" max="8452" width="12.5546875" style="135" bestFit="1" customWidth="1"/>
    <col min="8453" max="8454" width="12" style="135" customWidth="1"/>
    <col min="8455" max="8455" width="15.88671875" style="135" customWidth="1"/>
    <col min="8456" max="8456" width="11.88671875" style="135" customWidth="1"/>
    <col min="8457" max="8457" width="11.6640625" style="135" customWidth="1"/>
    <col min="8458" max="8458" width="11.88671875" style="135" customWidth="1"/>
    <col min="8459" max="8459" width="8.88671875" style="135" customWidth="1"/>
    <col min="8460" max="8462" width="11.33203125" style="135" customWidth="1"/>
    <col min="8463" max="8463" width="8.5546875" style="135" customWidth="1"/>
    <col min="8464" max="8464" width="14" style="135" customWidth="1"/>
    <col min="8465" max="8465" width="9.109375" style="135"/>
    <col min="8466" max="8466" width="13.5546875" style="135" bestFit="1" customWidth="1"/>
    <col min="8467" max="8704" width="9.109375" style="135"/>
    <col min="8705" max="8705" width="6" style="135" customWidth="1"/>
    <col min="8706" max="8706" width="43" style="135" customWidth="1"/>
    <col min="8707" max="8707" width="11.44140625" style="135" customWidth="1"/>
    <col min="8708" max="8708" width="12.5546875" style="135" bestFit="1" customWidth="1"/>
    <col min="8709" max="8710" width="12" style="135" customWidth="1"/>
    <col min="8711" max="8711" width="15.88671875" style="135" customWidth="1"/>
    <col min="8712" max="8712" width="11.88671875" style="135" customWidth="1"/>
    <col min="8713" max="8713" width="11.6640625" style="135" customWidth="1"/>
    <col min="8714" max="8714" width="11.88671875" style="135" customWidth="1"/>
    <col min="8715" max="8715" width="8.88671875" style="135" customWidth="1"/>
    <col min="8716" max="8718" width="11.33203125" style="135" customWidth="1"/>
    <col min="8719" max="8719" width="8.5546875" style="135" customWidth="1"/>
    <col min="8720" max="8720" width="14" style="135" customWidth="1"/>
    <col min="8721" max="8721" width="9.109375" style="135"/>
    <col min="8722" max="8722" width="13.5546875" style="135" bestFit="1" customWidth="1"/>
    <col min="8723" max="8960" width="9.109375" style="135"/>
    <col min="8961" max="8961" width="6" style="135" customWidth="1"/>
    <col min="8962" max="8962" width="43" style="135" customWidth="1"/>
    <col min="8963" max="8963" width="11.44140625" style="135" customWidth="1"/>
    <col min="8964" max="8964" width="12.5546875" style="135" bestFit="1" customWidth="1"/>
    <col min="8965" max="8966" width="12" style="135" customWidth="1"/>
    <col min="8967" max="8967" width="15.88671875" style="135" customWidth="1"/>
    <col min="8968" max="8968" width="11.88671875" style="135" customWidth="1"/>
    <col min="8969" max="8969" width="11.6640625" style="135" customWidth="1"/>
    <col min="8970" max="8970" width="11.88671875" style="135" customWidth="1"/>
    <col min="8971" max="8971" width="8.88671875" style="135" customWidth="1"/>
    <col min="8972" max="8974" width="11.33203125" style="135" customWidth="1"/>
    <col min="8975" max="8975" width="8.5546875" style="135" customWidth="1"/>
    <col min="8976" max="8976" width="14" style="135" customWidth="1"/>
    <col min="8977" max="8977" width="9.109375" style="135"/>
    <col min="8978" max="8978" width="13.5546875" style="135" bestFit="1" customWidth="1"/>
    <col min="8979" max="9216" width="9.109375" style="135"/>
    <col min="9217" max="9217" width="6" style="135" customWidth="1"/>
    <col min="9218" max="9218" width="43" style="135" customWidth="1"/>
    <col min="9219" max="9219" width="11.44140625" style="135" customWidth="1"/>
    <col min="9220" max="9220" width="12.5546875" style="135" bestFit="1" customWidth="1"/>
    <col min="9221" max="9222" width="12" style="135" customWidth="1"/>
    <col min="9223" max="9223" width="15.88671875" style="135" customWidth="1"/>
    <col min="9224" max="9224" width="11.88671875" style="135" customWidth="1"/>
    <col min="9225" max="9225" width="11.6640625" style="135" customWidth="1"/>
    <col min="9226" max="9226" width="11.88671875" style="135" customWidth="1"/>
    <col min="9227" max="9227" width="8.88671875" style="135" customWidth="1"/>
    <col min="9228" max="9230" width="11.33203125" style="135" customWidth="1"/>
    <col min="9231" max="9231" width="8.5546875" style="135" customWidth="1"/>
    <col min="9232" max="9232" width="14" style="135" customWidth="1"/>
    <col min="9233" max="9233" width="9.109375" style="135"/>
    <col min="9234" max="9234" width="13.5546875" style="135" bestFit="1" customWidth="1"/>
    <col min="9235" max="9472" width="9.109375" style="135"/>
    <col min="9473" max="9473" width="6" style="135" customWidth="1"/>
    <col min="9474" max="9474" width="43" style="135" customWidth="1"/>
    <col min="9475" max="9475" width="11.44140625" style="135" customWidth="1"/>
    <col min="9476" max="9476" width="12.5546875" style="135" bestFit="1" customWidth="1"/>
    <col min="9477" max="9478" width="12" style="135" customWidth="1"/>
    <col min="9479" max="9479" width="15.88671875" style="135" customWidth="1"/>
    <col min="9480" max="9480" width="11.88671875" style="135" customWidth="1"/>
    <col min="9481" max="9481" width="11.6640625" style="135" customWidth="1"/>
    <col min="9482" max="9482" width="11.88671875" style="135" customWidth="1"/>
    <col min="9483" max="9483" width="8.88671875" style="135" customWidth="1"/>
    <col min="9484" max="9486" width="11.33203125" style="135" customWidth="1"/>
    <col min="9487" max="9487" width="8.5546875" style="135" customWidth="1"/>
    <col min="9488" max="9488" width="14" style="135" customWidth="1"/>
    <col min="9489" max="9489" width="9.109375" style="135"/>
    <col min="9490" max="9490" width="13.5546875" style="135" bestFit="1" customWidth="1"/>
    <col min="9491" max="9728" width="9.109375" style="135"/>
    <col min="9729" max="9729" width="6" style="135" customWidth="1"/>
    <col min="9730" max="9730" width="43" style="135" customWidth="1"/>
    <col min="9731" max="9731" width="11.44140625" style="135" customWidth="1"/>
    <col min="9732" max="9732" width="12.5546875" style="135" bestFit="1" customWidth="1"/>
    <col min="9733" max="9734" width="12" style="135" customWidth="1"/>
    <col min="9735" max="9735" width="15.88671875" style="135" customWidth="1"/>
    <col min="9736" max="9736" width="11.88671875" style="135" customWidth="1"/>
    <col min="9737" max="9737" width="11.6640625" style="135" customWidth="1"/>
    <col min="9738" max="9738" width="11.88671875" style="135" customWidth="1"/>
    <col min="9739" max="9739" width="8.88671875" style="135" customWidth="1"/>
    <col min="9740" max="9742" width="11.33203125" style="135" customWidth="1"/>
    <col min="9743" max="9743" width="8.5546875" style="135" customWidth="1"/>
    <col min="9744" max="9744" width="14" style="135" customWidth="1"/>
    <col min="9745" max="9745" width="9.109375" style="135"/>
    <col min="9746" max="9746" width="13.5546875" style="135" bestFit="1" customWidth="1"/>
    <col min="9747" max="9984" width="9.109375" style="135"/>
    <col min="9985" max="9985" width="6" style="135" customWidth="1"/>
    <col min="9986" max="9986" width="43" style="135" customWidth="1"/>
    <col min="9987" max="9987" width="11.44140625" style="135" customWidth="1"/>
    <col min="9988" max="9988" width="12.5546875" style="135" bestFit="1" customWidth="1"/>
    <col min="9989" max="9990" width="12" style="135" customWidth="1"/>
    <col min="9991" max="9991" width="15.88671875" style="135" customWidth="1"/>
    <col min="9992" max="9992" width="11.88671875" style="135" customWidth="1"/>
    <col min="9993" max="9993" width="11.6640625" style="135" customWidth="1"/>
    <col min="9994" max="9994" width="11.88671875" style="135" customWidth="1"/>
    <col min="9995" max="9995" width="8.88671875" style="135" customWidth="1"/>
    <col min="9996" max="9998" width="11.33203125" style="135" customWidth="1"/>
    <col min="9999" max="9999" width="8.5546875" style="135" customWidth="1"/>
    <col min="10000" max="10000" width="14" style="135" customWidth="1"/>
    <col min="10001" max="10001" width="9.109375" style="135"/>
    <col min="10002" max="10002" width="13.5546875" style="135" bestFit="1" customWidth="1"/>
    <col min="10003" max="10240" width="9.109375" style="135"/>
    <col min="10241" max="10241" width="6" style="135" customWidth="1"/>
    <col min="10242" max="10242" width="43" style="135" customWidth="1"/>
    <col min="10243" max="10243" width="11.44140625" style="135" customWidth="1"/>
    <col min="10244" max="10244" width="12.5546875" style="135" bestFit="1" customWidth="1"/>
    <col min="10245" max="10246" width="12" style="135" customWidth="1"/>
    <col min="10247" max="10247" width="15.88671875" style="135" customWidth="1"/>
    <col min="10248" max="10248" width="11.88671875" style="135" customWidth="1"/>
    <col min="10249" max="10249" width="11.6640625" style="135" customWidth="1"/>
    <col min="10250" max="10250" width="11.88671875" style="135" customWidth="1"/>
    <col min="10251" max="10251" width="8.88671875" style="135" customWidth="1"/>
    <col min="10252" max="10254" width="11.33203125" style="135" customWidth="1"/>
    <col min="10255" max="10255" width="8.5546875" style="135" customWidth="1"/>
    <col min="10256" max="10256" width="14" style="135" customWidth="1"/>
    <col min="10257" max="10257" width="9.109375" style="135"/>
    <col min="10258" max="10258" width="13.5546875" style="135" bestFit="1" customWidth="1"/>
    <col min="10259" max="10496" width="9.109375" style="135"/>
    <col min="10497" max="10497" width="6" style="135" customWidth="1"/>
    <col min="10498" max="10498" width="43" style="135" customWidth="1"/>
    <col min="10499" max="10499" width="11.44140625" style="135" customWidth="1"/>
    <col min="10500" max="10500" width="12.5546875" style="135" bestFit="1" customWidth="1"/>
    <col min="10501" max="10502" width="12" style="135" customWidth="1"/>
    <col min="10503" max="10503" width="15.88671875" style="135" customWidth="1"/>
    <col min="10504" max="10504" width="11.88671875" style="135" customWidth="1"/>
    <col min="10505" max="10505" width="11.6640625" style="135" customWidth="1"/>
    <col min="10506" max="10506" width="11.88671875" style="135" customWidth="1"/>
    <col min="10507" max="10507" width="8.88671875" style="135" customWidth="1"/>
    <col min="10508" max="10510" width="11.33203125" style="135" customWidth="1"/>
    <col min="10511" max="10511" width="8.5546875" style="135" customWidth="1"/>
    <col min="10512" max="10512" width="14" style="135" customWidth="1"/>
    <col min="10513" max="10513" width="9.109375" style="135"/>
    <col min="10514" max="10514" width="13.5546875" style="135" bestFit="1" customWidth="1"/>
    <col min="10515" max="10752" width="9.109375" style="135"/>
    <col min="10753" max="10753" width="6" style="135" customWidth="1"/>
    <col min="10754" max="10754" width="43" style="135" customWidth="1"/>
    <col min="10755" max="10755" width="11.44140625" style="135" customWidth="1"/>
    <col min="10756" max="10756" width="12.5546875" style="135" bestFit="1" customWidth="1"/>
    <col min="10757" max="10758" width="12" style="135" customWidth="1"/>
    <col min="10759" max="10759" width="15.88671875" style="135" customWidth="1"/>
    <col min="10760" max="10760" width="11.88671875" style="135" customWidth="1"/>
    <col min="10761" max="10761" width="11.6640625" style="135" customWidth="1"/>
    <col min="10762" max="10762" width="11.88671875" style="135" customWidth="1"/>
    <col min="10763" max="10763" width="8.88671875" style="135" customWidth="1"/>
    <col min="10764" max="10766" width="11.33203125" style="135" customWidth="1"/>
    <col min="10767" max="10767" width="8.5546875" style="135" customWidth="1"/>
    <col min="10768" max="10768" width="14" style="135" customWidth="1"/>
    <col min="10769" max="10769" width="9.109375" style="135"/>
    <col min="10770" max="10770" width="13.5546875" style="135" bestFit="1" customWidth="1"/>
    <col min="10771" max="11008" width="9.109375" style="135"/>
    <col min="11009" max="11009" width="6" style="135" customWidth="1"/>
    <col min="11010" max="11010" width="43" style="135" customWidth="1"/>
    <col min="11011" max="11011" width="11.44140625" style="135" customWidth="1"/>
    <col min="11012" max="11012" width="12.5546875" style="135" bestFit="1" customWidth="1"/>
    <col min="11013" max="11014" width="12" style="135" customWidth="1"/>
    <col min="11015" max="11015" width="15.88671875" style="135" customWidth="1"/>
    <col min="11016" max="11016" width="11.88671875" style="135" customWidth="1"/>
    <col min="11017" max="11017" width="11.6640625" style="135" customWidth="1"/>
    <col min="11018" max="11018" width="11.88671875" style="135" customWidth="1"/>
    <col min="11019" max="11019" width="8.88671875" style="135" customWidth="1"/>
    <col min="11020" max="11022" width="11.33203125" style="135" customWidth="1"/>
    <col min="11023" max="11023" width="8.5546875" style="135" customWidth="1"/>
    <col min="11024" max="11024" width="14" style="135" customWidth="1"/>
    <col min="11025" max="11025" width="9.109375" style="135"/>
    <col min="11026" max="11026" width="13.5546875" style="135" bestFit="1" customWidth="1"/>
    <col min="11027" max="11264" width="9.109375" style="135"/>
    <col min="11265" max="11265" width="6" style="135" customWidth="1"/>
    <col min="11266" max="11266" width="43" style="135" customWidth="1"/>
    <col min="11267" max="11267" width="11.44140625" style="135" customWidth="1"/>
    <col min="11268" max="11268" width="12.5546875" style="135" bestFit="1" customWidth="1"/>
    <col min="11269" max="11270" width="12" style="135" customWidth="1"/>
    <col min="11271" max="11271" width="15.88671875" style="135" customWidth="1"/>
    <col min="11272" max="11272" width="11.88671875" style="135" customWidth="1"/>
    <col min="11273" max="11273" width="11.6640625" style="135" customWidth="1"/>
    <col min="11274" max="11274" width="11.88671875" style="135" customWidth="1"/>
    <col min="11275" max="11275" width="8.88671875" style="135" customWidth="1"/>
    <col min="11276" max="11278" width="11.33203125" style="135" customWidth="1"/>
    <col min="11279" max="11279" width="8.5546875" style="135" customWidth="1"/>
    <col min="11280" max="11280" width="14" style="135" customWidth="1"/>
    <col min="11281" max="11281" width="9.109375" style="135"/>
    <col min="11282" max="11282" width="13.5546875" style="135" bestFit="1" customWidth="1"/>
    <col min="11283" max="11520" width="9.109375" style="135"/>
    <col min="11521" max="11521" width="6" style="135" customWidth="1"/>
    <col min="11522" max="11522" width="43" style="135" customWidth="1"/>
    <col min="11523" max="11523" width="11.44140625" style="135" customWidth="1"/>
    <col min="11524" max="11524" width="12.5546875" style="135" bestFit="1" customWidth="1"/>
    <col min="11525" max="11526" width="12" style="135" customWidth="1"/>
    <col min="11527" max="11527" width="15.88671875" style="135" customWidth="1"/>
    <col min="11528" max="11528" width="11.88671875" style="135" customWidth="1"/>
    <col min="11529" max="11529" width="11.6640625" style="135" customWidth="1"/>
    <col min="11530" max="11530" width="11.88671875" style="135" customWidth="1"/>
    <col min="11531" max="11531" width="8.88671875" style="135" customWidth="1"/>
    <col min="11532" max="11534" width="11.33203125" style="135" customWidth="1"/>
    <col min="11535" max="11535" width="8.5546875" style="135" customWidth="1"/>
    <col min="11536" max="11536" width="14" style="135" customWidth="1"/>
    <col min="11537" max="11537" width="9.109375" style="135"/>
    <col min="11538" max="11538" width="13.5546875" style="135" bestFit="1" customWidth="1"/>
    <col min="11539" max="11776" width="9.109375" style="135"/>
    <col min="11777" max="11777" width="6" style="135" customWidth="1"/>
    <col min="11778" max="11778" width="43" style="135" customWidth="1"/>
    <col min="11779" max="11779" width="11.44140625" style="135" customWidth="1"/>
    <col min="11780" max="11780" width="12.5546875" style="135" bestFit="1" customWidth="1"/>
    <col min="11781" max="11782" width="12" style="135" customWidth="1"/>
    <col min="11783" max="11783" width="15.88671875" style="135" customWidth="1"/>
    <col min="11784" max="11784" width="11.88671875" style="135" customWidth="1"/>
    <col min="11785" max="11785" width="11.6640625" style="135" customWidth="1"/>
    <col min="11786" max="11786" width="11.88671875" style="135" customWidth="1"/>
    <col min="11787" max="11787" width="8.88671875" style="135" customWidth="1"/>
    <col min="11788" max="11790" width="11.33203125" style="135" customWidth="1"/>
    <col min="11791" max="11791" width="8.5546875" style="135" customWidth="1"/>
    <col min="11792" max="11792" width="14" style="135" customWidth="1"/>
    <col min="11793" max="11793" width="9.109375" style="135"/>
    <col min="11794" max="11794" width="13.5546875" style="135" bestFit="1" customWidth="1"/>
    <col min="11795" max="12032" width="9.109375" style="135"/>
    <col min="12033" max="12033" width="6" style="135" customWidth="1"/>
    <col min="12034" max="12034" width="43" style="135" customWidth="1"/>
    <col min="12035" max="12035" width="11.44140625" style="135" customWidth="1"/>
    <col min="12036" max="12036" width="12.5546875" style="135" bestFit="1" customWidth="1"/>
    <col min="12037" max="12038" width="12" style="135" customWidth="1"/>
    <col min="12039" max="12039" width="15.88671875" style="135" customWidth="1"/>
    <col min="12040" max="12040" width="11.88671875" style="135" customWidth="1"/>
    <col min="12041" max="12041" width="11.6640625" style="135" customWidth="1"/>
    <col min="12042" max="12042" width="11.88671875" style="135" customWidth="1"/>
    <col min="12043" max="12043" width="8.88671875" style="135" customWidth="1"/>
    <col min="12044" max="12046" width="11.33203125" style="135" customWidth="1"/>
    <col min="12047" max="12047" width="8.5546875" style="135" customWidth="1"/>
    <col min="12048" max="12048" width="14" style="135" customWidth="1"/>
    <col min="12049" max="12049" width="9.109375" style="135"/>
    <col min="12050" max="12050" width="13.5546875" style="135" bestFit="1" customWidth="1"/>
    <col min="12051" max="12288" width="9.109375" style="135"/>
    <col min="12289" max="12289" width="6" style="135" customWidth="1"/>
    <col min="12290" max="12290" width="43" style="135" customWidth="1"/>
    <col min="12291" max="12291" width="11.44140625" style="135" customWidth="1"/>
    <col min="12292" max="12292" width="12.5546875" style="135" bestFit="1" customWidth="1"/>
    <col min="12293" max="12294" width="12" style="135" customWidth="1"/>
    <col min="12295" max="12295" width="15.88671875" style="135" customWidth="1"/>
    <col min="12296" max="12296" width="11.88671875" style="135" customWidth="1"/>
    <col min="12297" max="12297" width="11.6640625" style="135" customWidth="1"/>
    <col min="12298" max="12298" width="11.88671875" style="135" customWidth="1"/>
    <col min="12299" max="12299" width="8.88671875" style="135" customWidth="1"/>
    <col min="12300" max="12302" width="11.33203125" style="135" customWidth="1"/>
    <col min="12303" max="12303" width="8.5546875" style="135" customWidth="1"/>
    <col min="12304" max="12304" width="14" style="135" customWidth="1"/>
    <col min="12305" max="12305" width="9.109375" style="135"/>
    <col min="12306" max="12306" width="13.5546875" style="135" bestFit="1" customWidth="1"/>
    <col min="12307" max="12544" width="9.109375" style="135"/>
    <col min="12545" max="12545" width="6" style="135" customWidth="1"/>
    <col min="12546" max="12546" width="43" style="135" customWidth="1"/>
    <col min="12547" max="12547" width="11.44140625" style="135" customWidth="1"/>
    <col min="12548" max="12548" width="12.5546875" style="135" bestFit="1" customWidth="1"/>
    <col min="12549" max="12550" width="12" style="135" customWidth="1"/>
    <col min="12551" max="12551" width="15.88671875" style="135" customWidth="1"/>
    <col min="12552" max="12552" width="11.88671875" style="135" customWidth="1"/>
    <col min="12553" max="12553" width="11.6640625" style="135" customWidth="1"/>
    <col min="12554" max="12554" width="11.88671875" style="135" customWidth="1"/>
    <col min="12555" max="12555" width="8.88671875" style="135" customWidth="1"/>
    <col min="12556" max="12558" width="11.33203125" style="135" customWidth="1"/>
    <col min="12559" max="12559" width="8.5546875" style="135" customWidth="1"/>
    <col min="12560" max="12560" width="14" style="135" customWidth="1"/>
    <col min="12561" max="12561" width="9.109375" style="135"/>
    <col min="12562" max="12562" width="13.5546875" style="135" bestFit="1" customWidth="1"/>
    <col min="12563" max="12800" width="9.109375" style="135"/>
    <col min="12801" max="12801" width="6" style="135" customWidth="1"/>
    <col min="12802" max="12802" width="43" style="135" customWidth="1"/>
    <col min="12803" max="12803" width="11.44140625" style="135" customWidth="1"/>
    <col min="12804" max="12804" width="12.5546875" style="135" bestFit="1" customWidth="1"/>
    <col min="12805" max="12806" width="12" style="135" customWidth="1"/>
    <col min="12807" max="12807" width="15.88671875" style="135" customWidth="1"/>
    <col min="12808" max="12808" width="11.88671875" style="135" customWidth="1"/>
    <col min="12809" max="12809" width="11.6640625" style="135" customWidth="1"/>
    <col min="12810" max="12810" width="11.88671875" style="135" customWidth="1"/>
    <col min="12811" max="12811" width="8.88671875" style="135" customWidth="1"/>
    <col min="12812" max="12814" width="11.33203125" style="135" customWidth="1"/>
    <col min="12815" max="12815" width="8.5546875" style="135" customWidth="1"/>
    <col min="12816" max="12816" width="14" style="135" customWidth="1"/>
    <col min="12817" max="12817" width="9.109375" style="135"/>
    <col min="12818" max="12818" width="13.5546875" style="135" bestFit="1" customWidth="1"/>
    <col min="12819" max="13056" width="9.109375" style="135"/>
    <col min="13057" max="13057" width="6" style="135" customWidth="1"/>
    <col min="13058" max="13058" width="43" style="135" customWidth="1"/>
    <col min="13059" max="13059" width="11.44140625" style="135" customWidth="1"/>
    <col min="13060" max="13060" width="12.5546875" style="135" bestFit="1" customWidth="1"/>
    <col min="13061" max="13062" width="12" style="135" customWidth="1"/>
    <col min="13063" max="13063" width="15.88671875" style="135" customWidth="1"/>
    <col min="13064" max="13064" width="11.88671875" style="135" customWidth="1"/>
    <col min="13065" max="13065" width="11.6640625" style="135" customWidth="1"/>
    <col min="13066" max="13066" width="11.88671875" style="135" customWidth="1"/>
    <col min="13067" max="13067" width="8.88671875" style="135" customWidth="1"/>
    <col min="13068" max="13070" width="11.33203125" style="135" customWidth="1"/>
    <col min="13071" max="13071" width="8.5546875" style="135" customWidth="1"/>
    <col min="13072" max="13072" width="14" style="135" customWidth="1"/>
    <col min="13073" max="13073" width="9.109375" style="135"/>
    <col min="13074" max="13074" width="13.5546875" style="135" bestFit="1" customWidth="1"/>
    <col min="13075" max="13312" width="9.109375" style="135"/>
    <col min="13313" max="13313" width="6" style="135" customWidth="1"/>
    <col min="13314" max="13314" width="43" style="135" customWidth="1"/>
    <col min="13315" max="13315" width="11.44140625" style="135" customWidth="1"/>
    <col min="13316" max="13316" width="12.5546875" style="135" bestFit="1" customWidth="1"/>
    <col min="13317" max="13318" width="12" style="135" customWidth="1"/>
    <col min="13319" max="13319" width="15.88671875" style="135" customWidth="1"/>
    <col min="13320" max="13320" width="11.88671875" style="135" customWidth="1"/>
    <col min="13321" max="13321" width="11.6640625" style="135" customWidth="1"/>
    <col min="13322" max="13322" width="11.88671875" style="135" customWidth="1"/>
    <col min="13323" max="13323" width="8.88671875" style="135" customWidth="1"/>
    <col min="13324" max="13326" width="11.33203125" style="135" customWidth="1"/>
    <col min="13327" max="13327" width="8.5546875" style="135" customWidth="1"/>
    <col min="13328" max="13328" width="14" style="135" customWidth="1"/>
    <col min="13329" max="13329" width="9.109375" style="135"/>
    <col min="13330" max="13330" width="13.5546875" style="135" bestFit="1" customWidth="1"/>
    <col min="13331" max="13568" width="9.109375" style="135"/>
    <col min="13569" max="13569" width="6" style="135" customWidth="1"/>
    <col min="13570" max="13570" width="43" style="135" customWidth="1"/>
    <col min="13571" max="13571" width="11.44140625" style="135" customWidth="1"/>
    <col min="13572" max="13572" width="12.5546875" style="135" bestFit="1" customWidth="1"/>
    <col min="13573" max="13574" width="12" style="135" customWidth="1"/>
    <col min="13575" max="13575" width="15.88671875" style="135" customWidth="1"/>
    <col min="13576" max="13576" width="11.88671875" style="135" customWidth="1"/>
    <col min="13577" max="13577" width="11.6640625" style="135" customWidth="1"/>
    <col min="13578" max="13578" width="11.88671875" style="135" customWidth="1"/>
    <col min="13579" max="13579" width="8.88671875" style="135" customWidth="1"/>
    <col min="13580" max="13582" width="11.33203125" style="135" customWidth="1"/>
    <col min="13583" max="13583" width="8.5546875" style="135" customWidth="1"/>
    <col min="13584" max="13584" width="14" style="135" customWidth="1"/>
    <col min="13585" max="13585" width="9.109375" style="135"/>
    <col min="13586" max="13586" width="13.5546875" style="135" bestFit="1" customWidth="1"/>
    <col min="13587" max="13824" width="9.109375" style="135"/>
    <col min="13825" max="13825" width="6" style="135" customWidth="1"/>
    <col min="13826" max="13826" width="43" style="135" customWidth="1"/>
    <col min="13827" max="13827" width="11.44140625" style="135" customWidth="1"/>
    <col min="13828" max="13828" width="12.5546875" style="135" bestFit="1" customWidth="1"/>
    <col min="13829" max="13830" width="12" style="135" customWidth="1"/>
    <col min="13831" max="13831" width="15.88671875" style="135" customWidth="1"/>
    <col min="13832" max="13832" width="11.88671875" style="135" customWidth="1"/>
    <col min="13833" max="13833" width="11.6640625" style="135" customWidth="1"/>
    <col min="13834" max="13834" width="11.88671875" style="135" customWidth="1"/>
    <col min="13835" max="13835" width="8.88671875" style="135" customWidth="1"/>
    <col min="13836" max="13838" width="11.33203125" style="135" customWidth="1"/>
    <col min="13839" max="13839" width="8.5546875" style="135" customWidth="1"/>
    <col min="13840" max="13840" width="14" style="135" customWidth="1"/>
    <col min="13841" max="13841" width="9.109375" style="135"/>
    <col min="13842" max="13842" width="13.5546875" style="135" bestFit="1" customWidth="1"/>
    <col min="13843" max="14080" width="9.109375" style="135"/>
    <col min="14081" max="14081" width="6" style="135" customWidth="1"/>
    <col min="14082" max="14082" width="43" style="135" customWidth="1"/>
    <col min="14083" max="14083" width="11.44140625" style="135" customWidth="1"/>
    <col min="14084" max="14084" width="12.5546875" style="135" bestFit="1" customWidth="1"/>
    <col min="14085" max="14086" width="12" style="135" customWidth="1"/>
    <col min="14087" max="14087" width="15.88671875" style="135" customWidth="1"/>
    <col min="14088" max="14088" width="11.88671875" style="135" customWidth="1"/>
    <col min="14089" max="14089" width="11.6640625" style="135" customWidth="1"/>
    <col min="14090" max="14090" width="11.88671875" style="135" customWidth="1"/>
    <col min="14091" max="14091" width="8.88671875" style="135" customWidth="1"/>
    <col min="14092" max="14094" width="11.33203125" style="135" customWidth="1"/>
    <col min="14095" max="14095" width="8.5546875" style="135" customWidth="1"/>
    <col min="14096" max="14096" width="14" style="135" customWidth="1"/>
    <col min="14097" max="14097" width="9.109375" style="135"/>
    <col min="14098" max="14098" width="13.5546875" style="135" bestFit="1" customWidth="1"/>
    <col min="14099" max="14336" width="9.109375" style="135"/>
    <col min="14337" max="14337" width="6" style="135" customWidth="1"/>
    <col min="14338" max="14338" width="43" style="135" customWidth="1"/>
    <col min="14339" max="14339" width="11.44140625" style="135" customWidth="1"/>
    <col min="14340" max="14340" width="12.5546875" style="135" bestFit="1" customWidth="1"/>
    <col min="14341" max="14342" width="12" style="135" customWidth="1"/>
    <col min="14343" max="14343" width="15.88671875" style="135" customWidth="1"/>
    <col min="14344" max="14344" width="11.88671875" style="135" customWidth="1"/>
    <col min="14345" max="14345" width="11.6640625" style="135" customWidth="1"/>
    <col min="14346" max="14346" width="11.88671875" style="135" customWidth="1"/>
    <col min="14347" max="14347" width="8.88671875" style="135" customWidth="1"/>
    <col min="14348" max="14350" width="11.33203125" style="135" customWidth="1"/>
    <col min="14351" max="14351" width="8.5546875" style="135" customWidth="1"/>
    <col min="14352" max="14352" width="14" style="135" customWidth="1"/>
    <col min="14353" max="14353" width="9.109375" style="135"/>
    <col min="14354" max="14354" width="13.5546875" style="135" bestFit="1" customWidth="1"/>
    <col min="14355" max="14592" width="9.109375" style="135"/>
    <col min="14593" max="14593" width="6" style="135" customWidth="1"/>
    <col min="14594" max="14594" width="43" style="135" customWidth="1"/>
    <col min="14595" max="14595" width="11.44140625" style="135" customWidth="1"/>
    <col min="14596" max="14596" width="12.5546875" style="135" bestFit="1" customWidth="1"/>
    <col min="14597" max="14598" width="12" style="135" customWidth="1"/>
    <col min="14599" max="14599" width="15.88671875" style="135" customWidth="1"/>
    <col min="14600" max="14600" width="11.88671875" style="135" customWidth="1"/>
    <col min="14601" max="14601" width="11.6640625" style="135" customWidth="1"/>
    <col min="14602" max="14602" width="11.88671875" style="135" customWidth="1"/>
    <col min="14603" max="14603" width="8.88671875" style="135" customWidth="1"/>
    <col min="14604" max="14606" width="11.33203125" style="135" customWidth="1"/>
    <col min="14607" max="14607" width="8.5546875" style="135" customWidth="1"/>
    <col min="14608" max="14608" width="14" style="135" customWidth="1"/>
    <col min="14609" max="14609" width="9.109375" style="135"/>
    <col min="14610" max="14610" width="13.5546875" style="135" bestFit="1" customWidth="1"/>
    <col min="14611" max="14848" width="9.109375" style="135"/>
    <col min="14849" max="14849" width="6" style="135" customWidth="1"/>
    <col min="14850" max="14850" width="43" style="135" customWidth="1"/>
    <col min="14851" max="14851" width="11.44140625" style="135" customWidth="1"/>
    <col min="14852" max="14852" width="12.5546875" style="135" bestFit="1" customWidth="1"/>
    <col min="14853" max="14854" width="12" style="135" customWidth="1"/>
    <col min="14855" max="14855" width="15.88671875" style="135" customWidth="1"/>
    <col min="14856" max="14856" width="11.88671875" style="135" customWidth="1"/>
    <col min="14857" max="14857" width="11.6640625" style="135" customWidth="1"/>
    <col min="14858" max="14858" width="11.88671875" style="135" customWidth="1"/>
    <col min="14859" max="14859" width="8.88671875" style="135" customWidth="1"/>
    <col min="14860" max="14862" width="11.33203125" style="135" customWidth="1"/>
    <col min="14863" max="14863" width="8.5546875" style="135" customWidth="1"/>
    <col min="14864" max="14864" width="14" style="135" customWidth="1"/>
    <col min="14865" max="14865" width="9.109375" style="135"/>
    <col min="14866" max="14866" width="13.5546875" style="135" bestFit="1" customWidth="1"/>
    <col min="14867" max="15104" width="9.109375" style="135"/>
    <col min="15105" max="15105" width="6" style="135" customWidth="1"/>
    <col min="15106" max="15106" width="43" style="135" customWidth="1"/>
    <col min="15107" max="15107" width="11.44140625" style="135" customWidth="1"/>
    <col min="15108" max="15108" width="12.5546875" style="135" bestFit="1" customWidth="1"/>
    <col min="15109" max="15110" width="12" style="135" customWidth="1"/>
    <col min="15111" max="15111" width="15.88671875" style="135" customWidth="1"/>
    <col min="15112" max="15112" width="11.88671875" style="135" customWidth="1"/>
    <col min="15113" max="15113" width="11.6640625" style="135" customWidth="1"/>
    <col min="15114" max="15114" width="11.88671875" style="135" customWidth="1"/>
    <col min="15115" max="15115" width="8.88671875" style="135" customWidth="1"/>
    <col min="15116" max="15118" width="11.33203125" style="135" customWidth="1"/>
    <col min="15119" max="15119" width="8.5546875" style="135" customWidth="1"/>
    <col min="15120" max="15120" width="14" style="135" customWidth="1"/>
    <col min="15121" max="15121" width="9.109375" style="135"/>
    <col min="15122" max="15122" width="13.5546875" style="135" bestFit="1" customWidth="1"/>
    <col min="15123" max="15360" width="9.109375" style="135"/>
    <col min="15361" max="15361" width="6" style="135" customWidth="1"/>
    <col min="15362" max="15362" width="43" style="135" customWidth="1"/>
    <col min="15363" max="15363" width="11.44140625" style="135" customWidth="1"/>
    <col min="15364" max="15364" width="12.5546875" style="135" bestFit="1" customWidth="1"/>
    <col min="15365" max="15366" width="12" style="135" customWidth="1"/>
    <col min="15367" max="15367" width="15.88671875" style="135" customWidth="1"/>
    <col min="15368" max="15368" width="11.88671875" style="135" customWidth="1"/>
    <col min="15369" max="15369" width="11.6640625" style="135" customWidth="1"/>
    <col min="15370" max="15370" width="11.88671875" style="135" customWidth="1"/>
    <col min="15371" max="15371" width="8.88671875" style="135" customWidth="1"/>
    <col min="15372" max="15374" width="11.33203125" style="135" customWidth="1"/>
    <col min="15375" max="15375" width="8.5546875" style="135" customWidth="1"/>
    <col min="15376" max="15376" width="14" style="135" customWidth="1"/>
    <col min="15377" max="15377" width="9.109375" style="135"/>
    <col min="15378" max="15378" width="13.5546875" style="135" bestFit="1" customWidth="1"/>
    <col min="15379" max="15616" width="9.109375" style="135"/>
    <col min="15617" max="15617" width="6" style="135" customWidth="1"/>
    <col min="15618" max="15618" width="43" style="135" customWidth="1"/>
    <col min="15619" max="15619" width="11.44140625" style="135" customWidth="1"/>
    <col min="15620" max="15620" width="12.5546875" style="135" bestFit="1" customWidth="1"/>
    <col min="15621" max="15622" width="12" style="135" customWidth="1"/>
    <col min="15623" max="15623" width="15.88671875" style="135" customWidth="1"/>
    <col min="15624" max="15624" width="11.88671875" style="135" customWidth="1"/>
    <col min="15625" max="15625" width="11.6640625" style="135" customWidth="1"/>
    <col min="15626" max="15626" width="11.88671875" style="135" customWidth="1"/>
    <col min="15627" max="15627" width="8.88671875" style="135" customWidth="1"/>
    <col min="15628" max="15630" width="11.33203125" style="135" customWidth="1"/>
    <col min="15631" max="15631" width="8.5546875" style="135" customWidth="1"/>
    <col min="15632" max="15632" width="14" style="135" customWidth="1"/>
    <col min="15633" max="15633" width="9.109375" style="135"/>
    <col min="15634" max="15634" width="13.5546875" style="135" bestFit="1" customWidth="1"/>
    <col min="15635" max="15872" width="9.109375" style="135"/>
    <col min="15873" max="15873" width="6" style="135" customWidth="1"/>
    <col min="15874" max="15874" width="43" style="135" customWidth="1"/>
    <col min="15875" max="15875" width="11.44140625" style="135" customWidth="1"/>
    <col min="15876" max="15876" width="12.5546875" style="135" bestFit="1" customWidth="1"/>
    <col min="15877" max="15878" width="12" style="135" customWidth="1"/>
    <col min="15879" max="15879" width="15.88671875" style="135" customWidth="1"/>
    <col min="15880" max="15880" width="11.88671875" style="135" customWidth="1"/>
    <col min="15881" max="15881" width="11.6640625" style="135" customWidth="1"/>
    <col min="15882" max="15882" width="11.88671875" style="135" customWidth="1"/>
    <col min="15883" max="15883" width="8.88671875" style="135" customWidth="1"/>
    <col min="15884" max="15886" width="11.33203125" style="135" customWidth="1"/>
    <col min="15887" max="15887" width="8.5546875" style="135" customWidth="1"/>
    <col min="15888" max="15888" width="14" style="135" customWidth="1"/>
    <col min="15889" max="15889" width="9.109375" style="135"/>
    <col min="15890" max="15890" width="13.5546875" style="135" bestFit="1" customWidth="1"/>
    <col min="15891" max="16128" width="9.109375" style="135"/>
    <col min="16129" max="16129" width="6" style="135" customWidth="1"/>
    <col min="16130" max="16130" width="43" style="135" customWidth="1"/>
    <col min="16131" max="16131" width="11.44140625" style="135" customWidth="1"/>
    <col min="16132" max="16132" width="12.5546875" style="135" bestFit="1" customWidth="1"/>
    <col min="16133" max="16134" width="12" style="135" customWidth="1"/>
    <col min="16135" max="16135" width="15.88671875" style="135" customWidth="1"/>
    <col min="16136" max="16136" width="11.88671875" style="135" customWidth="1"/>
    <col min="16137" max="16137" width="11.6640625" style="135" customWidth="1"/>
    <col min="16138" max="16138" width="11.88671875" style="135" customWidth="1"/>
    <col min="16139" max="16139" width="8.88671875" style="135" customWidth="1"/>
    <col min="16140" max="16142" width="11.33203125" style="135" customWidth="1"/>
    <col min="16143" max="16143" width="8.5546875" style="135" customWidth="1"/>
    <col min="16144" max="16144" width="14" style="135" customWidth="1"/>
    <col min="16145" max="16145" width="9.109375" style="135"/>
    <col min="16146" max="16146" width="13.5546875" style="135" bestFit="1" customWidth="1"/>
    <col min="16147" max="16384" width="9.109375" style="135"/>
  </cols>
  <sheetData>
    <row r="1" spans="1:18" ht="8.25" customHeight="1" thickBot="1" x14ac:dyDescent="0.35"/>
    <row r="2" spans="1:18" x14ac:dyDescent="0.3">
      <c r="A2" s="137"/>
      <c r="B2" s="138"/>
      <c r="C2" s="139"/>
      <c r="D2" s="139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40"/>
    </row>
    <row r="3" spans="1:18" ht="21" x14ac:dyDescent="0.4">
      <c r="A3" s="404" t="s">
        <v>149</v>
      </c>
      <c r="B3" s="405"/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6"/>
    </row>
    <row r="4" spans="1:18" ht="14.4" x14ac:dyDescent="0.3">
      <c r="A4" s="407"/>
      <c r="B4" s="408"/>
      <c r="C4" s="408"/>
      <c r="D4" s="408"/>
      <c r="E4" s="408"/>
      <c r="F4" s="408"/>
      <c r="G4" s="408"/>
      <c r="H4" s="408"/>
      <c r="I4" s="408"/>
      <c r="J4" s="408"/>
      <c r="K4" s="408"/>
      <c r="L4" s="408"/>
      <c r="M4" s="408"/>
      <c r="N4" s="408"/>
      <c r="O4" s="408"/>
      <c r="P4" s="409"/>
    </row>
    <row r="5" spans="1:18" x14ac:dyDescent="0.3">
      <c r="A5" s="410"/>
      <c r="B5" s="411"/>
      <c r="C5" s="411"/>
      <c r="D5" s="411"/>
      <c r="E5" s="411"/>
      <c r="F5" s="411"/>
      <c r="G5" s="411"/>
      <c r="H5" s="411"/>
      <c r="I5" s="411"/>
      <c r="J5" s="411"/>
      <c r="K5" s="411"/>
      <c r="L5" s="411"/>
      <c r="M5" s="411"/>
      <c r="N5" s="411"/>
      <c r="O5" s="411"/>
      <c r="P5" s="412"/>
    </row>
    <row r="6" spans="1:18" x14ac:dyDescent="0.3">
      <c r="A6" s="413"/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5"/>
    </row>
    <row r="7" spans="1:18" x14ac:dyDescent="0.3">
      <c r="A7" s="413"/>
      <c r="B7" s="414"/>
      <c r="C7" s="414"/>
      <c r="D7" s="414"/>
      <c r="E7" s="414"/>
      <c r="F7" s="414"/>
      <c r="G7" s="414"/>
      <c r="H7" s="414"/>
      <c r="I7" s="414"/>
      <c r="J7" s="414"/>
      <c r="K7" s="414"/>
      <c r="L7" s="414"/>
      <c r="M7" s="414"/>
      <c r="N7" s="414"/>
      <c r="O7" s="414"/>
      <c r="P7" s="415"/>
    </row>
    <row r="8" spans="1:18" ht="14.4" thickBot="1" x14ac:dyDescent="0.35">
      <c r="A8" s="141"/>
      <c r="B8" s="142"/>
      <c r="C8" s="143"/>
      <c r="D8" s="143"/>
      <c r="E8" s="142"/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4"/>
    </row>
    <row r="9" spans="1:18" ht="7.5" customHeight="1" x14ac:dyDescent="0.3">
      <c r="A9" s="137"/>
      <c r="B9" s="138"/>
      <c r="C9" s="139"/>
      <c r="D9" s="139"/>
      <c r="E9" s="139"/>
      <c r="F9" s="139"/>
      <c r="G9" s="139"/>
      <c r="H9" s="138"/>
      <c r="I9" s="138"/>
      <c r="J9" s="138"/>
      <c r="K9" s="138"/>
      <c r="L9" s="138"/>
      <c r="M9" s="138"/>
      <c r="N9" s="138"/>
      <c r="O9" s="138"/>
      <c r="P9" s="140"/>
    </row>
    <row r="10" spans="1:18" ht="23.4" customHeight="1" thickBot="1" x14ac:dyDescent="0.35">
      <c r="A10" s="383" t="s">
        <v>98</v>
      </c>
      <c r="B10" s="402"/>
      <c r="C10" s="402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02"/>
      <c r="P10" s="403"/>
    </row>
    <row r="11" spans="1:18" ht="8.25" customHeight="1" thickBot="1" x14ac:dyDescent="0.35"/>
    <row r="12" spans="1:18" s="148" customFormat="1" ht="25.5" customHeight="1" thickBot="1" x14ac:dyDescent="0.3">
      <c r="A12" s="391" t="str">
        <f>'Planilha Orçamentária'!A10:F10</f>
        <v>CONTRATANTE: MUNICÍPIO DE IBERTIOGA-MG</v>
      </c>
      <c r="B12" s="392"/>
      <c r="C12" s="146" t="s">
        <v>77</v>
      </c>
      <c r="D12" s="255"/>
      <c r="E12" s="256">
        <f>'Planilha Orçamentária'!I40</f>
        <v>70411.757500000007</v>
      </c>
      <c r="F12" s="255"/>
      <c r="G12" s="147"/>
      <c r="H12" s="393" t="str">
        <f>'Planilha Orçamentária'!G12</f>
        <v>DATA: 19/07/2023</v>
      </c>
      <c r="I12" s="394"/>
      <c r="J12" s="394"/>
      <c r="K12" s="394"/>
      <c r="L12" s="394"/>
      <c r="M12" s="394"/>
      <c r="N12" s="394"/>
      <c r="O12" s="394"/>
      <c r="P12" s="395"/>
    </row>
    <row r="13" spans="1:18" s="148" customFormat="1" ht="23.25" customHeight="1" thickBot="1" x14ac:dyDescent="0.3">
      <c r="A13" s="396" t="str">
        <f>'Planilha Orçamentária'!A11:F11</f>
        <v xml:space="preserve">OBJETO: PAVIMENTAÇÃO DE RUA EM BLOCOS INTERTRAVADOS </v>
      </c>
      <c r="B13" s="397"/>
      <c r="C13" s="398" t="str">
        <f>'Planilha Orçamentária'!A12</f>
        <v>LOCAL: COMUNIDADE DE CACHOEIRINHA, IBERTIOGA - MG</v>
      </c>
      <c r="D13" s="399"/>
      <c r="E13" s="399"/>
      <c r="F13" s="399"/>
      <c r="G13" s="400"/>
      <c r="H13" s="401" t="str">
        <f>'Planilha Orçamentária'!A15</f>
        <v>PRAZO DE EXECUÇÃO: 02 (DOIS) MESES</v>
      </c>
      <c r="I13" s="394"/>
      <c r="J13" s="394"/>
      <c r="K13" s="394"/>
      <c r="L13" s="394"/>
      <c r="M13" s="394"/>
      <c r="N13" s="394"/>
      <c r="O13" s="394"/>
      <c r="P13" s="395"/>
      <c r="Q13" s="257"/>
    </row>
    <row r="14" spans="1:18" ht="27.75" customHeight="1" x14ac:dyDescent="0.3">
      <c r="A14" s="149" t="s">
        <v>8</v>
      </c>
      <c r="B14" s="150" t="s">
        <v>11</v>
      </c>
      <c r="C14" s="151" t="s">
        <v>78</v>
      </c>
      <c r="D14" s="150" t="s">
        <v>79</v>
      </c>
      <c r="E14" s="152" t="s">
        <v>80</v>
      </c>
      <c r="F14" s="152" t="s">
        <v>81</v>
      </c>
      <c r="G14" s="145" t="s">
        <v>82</v>
      </c>
      <c r="H14" s="149" t="s">
        <v>83</v>
      </c>
      <c r="I14" s="149" t="s">
        <v>84</v>
      </c>
      <c r="J14" s="149" t="s">
        <v>85</v>
      </c>
      <c r="K14" s="149" t="s">
        <v>86</v>
      </c>
      <c r="L14" s="153" t="s">
        <v>87</v>
      </c>
      <c r="M14" s="149" t="s">
        <v>88</v>
      </c>
      <c r="N14" s="149" t="s">
        <v>89</v>
      </c>
      <c r="O14" s="149" t="s">
        <v>90</v>
      </c>
      <c r="P14" s="254" t="s">
        <v>91</v>
      </c>
    </row>
    <row r="15" spans="1:18" x14ac:dyDescent="0.3">
      <c r="A15" s="387">
        <v>1</v>
      </c>
      <c r="B15" s="388" t="str">
        <f>'Planilha Orçamentária'!$D$19</f>
        <v xml:space="preserve">SERVIÇOS PRELIMINARES </v>
      </c>
      <c r="C15" s="154" t="s">
        <v>92</v>
      </c>
      <c r="D15" s="155">
        <f>D16*100%/D42</f>
        <v>3.0491407631743885E-2</v>
      </c>
      <c r="E15" s="155">
        <v>1</v>
      </c>
      <c r="F15" s="155">
        <v>0</v>
      </c>
      <c r="G15" s="155"/>
      <c r="H15" s="155"/>
      <c r="I15" s="155"/>
      <c r="J15" s="155"/>
      <c r="K15" s="155"/>
      <c r="L15" s="155"/>
      <c r="M15" s="155"/>
      <c r="N15" s="155"/>
      <c r="O15" s="155"/>
      <c r="P15" s="156"/>
      <c r="R15" s="157">
        <f t="shared" ref="R15:R38" si="0">SUM(E15:Q15)</f>
        <v>1</v>
      </c>
    </row>
    <row r="16" spans="1:18" x14ac:dyDescent="0.3">
      <c r="A16" s="387"/>
      <c r="B16" s="388"/>
      <c r="C16" s="154" t="s">
        <v>93</v>
      </c>
      <c r="D16" s="158">
        <f>'Planilha Orçamentária'!I19</f>
        <v>2146.9535999999998</v>
      </c>
      <c r="E16" s="159">
        <f>E15*$D$16</f>
        <v>2146.9535999999998</v>
      </c>
      <c r="F16" s="159">
        <f t="shared" ref="F16:P16" si="1">F15*$D$16</f>
        <v>0</v>
      </c>
      <c r="G16" s="159">
        <f t="shared" si="1"/>
        <v>0</v>
      </c>
      <c r="H16" s="159">
        <f t="shared" si="1"/>
        <v>0</v>
      </c>
      <c r="I16" s="159">
        <f t="shared" si="1"/>
        <v>0</v>
      </c>
      <c r="J16" s="159">
        <f t="shared" si="1"/>
        <v>0</v>
      </c>
      <c r="K16" s="159">
        <f t="shared" si="1"/>
        <v>0</v>
      </c>
      <c r="L16" s="159">
        <f t="shared" si="1"/>
        <v>0</v>
      </c>
      <c r="M16" s="159">
        <f t="shared" si="1"/>
        <v>0</v>
      </c>
      <c r="N16" s="159">
        <f t="shared" si="1"/>
        <v>0</v>
      </c>
      <c r="O16" s="159">
        <f t="shared" si="1"/>
        <v>0</v>
      </c>
      <c r="P16" s="160">
        <f t="shared" si="1"/>
        <v>0</v>
      </c>
      <c r="R16" s="161">
        <f t="shared" si="0"/>
        <v>2146.9535999999998</v>
      </c>
    </row>
    <row r="17" spans="1:23" x14ac:dyDescent="0.3">
      <c r="A17" s="387">
        <v>2</v>
      </c>
      <c r="B17" s="388" t="str">
        <f>'Planilha Orçamentária'!$D$24</f>
        <v>PAVIMENTAÇÃO</v>
      </c>
      <c r="C17" s="154" t="s">
        <v>92</v>
      </c>
      <c r="D17" s="155">
        <f>D18*100%/D42</f>
        <v>0.67707333537300218</v>
      </c>
      <c r="E17" s="155">
        <v>0.7</v>
      </c>
      <c r="F17" s="155">
        <v>0.3</v>
      </c>
      <c r="G17" s="155">
        <v>0</v>
      </c>
      <c r="H17" s="155"/>
      <c r="I17" s="155"/>
      <c r="J17" s="155"/>
      <c r="K17" s="155"/>
      <c r="L17" s="155"/>
      <c r="M17" s="155"/>
      <c r="N17" s="155"/>
      <c r="O17" s="155"/>
      <c r="P17" s="156"/>
      <c r="R17" s="157">
        <f t="shared" si="0"/>
        <v>1</v>
      </c>
    </row>
    <row r="18" spans="1:23" x14ac:dyDescent="0.3">
      <c r="A18" s="387"/>
      <c r="B18" s="388"/>
      <c r="C18" s="154" t="s">
        <v>93</v>
      </c>
      <c r="D18" s="158">
        <f>'Planilha Orçamentária'!I24</f>
        <v>47673.923500000004</v>
      </c>
      <c r="E18" s="159">
        <f>E17*D18</f>
        <v>33371.746449999999</v>
      </c>
      <c r="F18" s="159">
        <f>F17*$D$18</f>
        <v>14302.17705</v>
      </c>
      <c r="G18" s="159">
        <f t="shared" ref="G18:P18" si="2">G17*$D$18</f>
        <v>0</v>
      </c>
      <c r="H18" s="159">
        <f t="shared" si="2"/>
        <v>0</v>
      </c>
      <c r="I18" s="159">
        <f t="shared" si="2"/>
        <v>0</v>
      </c>
      <c r="J18" s="159">
        <f t="shared" si="2"/>
        <v>0</v>
      </c>
      <c r="K18" s="159">
        <f t="shared" si="2"/>
        <v>0</v>
      </c>
      <c r="L18" s="159">
        <f t="shared" si="2"/>
        <v>0</v>
      </c>
      <c r="M18" s="159">
        <f t="shared" si="2"/>
        <v>0</v>
      </c>
      <c r="N18" s="159">
        <f t="shared" si="2"/>
        <v>0</v>
      </c>
      <c r="O18" s="159">
        <f t="shared" si="2"/>
        <v>0</v>
      </c>
      <c r="P18" s="160">
        <f t="shared" si="2"/>
        <v>0</v>
      </c>
      <c r="R18" s="161">
        <f t="shared" si="0"/>
        <v>47673.923499999997</v>
      </c>
    </row>
    <row r="19" spans="1:23" ht="12.75" hidden="1" customHeight="1" x14ac:dyDescent="0.3">
      <c r="A19" s="379"/>
      <c r="B19" s="380"/>
      <c r="C19" s="154" t="s">
        <v>92</v>
      </c>
      <c r="D19" s="155">
        <f>D20*100%/D42</f>
        <v>0</v>
      </c>
      <c r="E19" s="155"/>
      <c r="F19" s="155"/>
      <c r="G19" s="155"/>
      <c r="H19" s="155"/>
      <c r="I19" s="155"/>
      <c r="J19" s="155"/>
      <c r="K19" s="155">
        <v>0.4</v>
      </c>
      <c r="L19" s="155">
        <v>0.4</v>
      </c>
      <c r="M19" s="155">
        <v>0.2</v>
      </c>
      <c r="N19" s="155"/>
      <c r="O19" s="155"/>
      <c r="P19" s="156"/>
      <c r="R19" s="161">
        <f t="shared" si="0"/>
        <v>1</v>
      </c>
      <c r="W19" s="157"/>
    </row>
    <row r="20" spans="1:23" ht="12.75" hidden="1" customHeight="1" x14ac:dyDescent="0.3">
      <c r="A20" s="379"/>
      <c r="B20" s="380"/>
      <c r="C20" s="154" t="s">
        <v>93</v>
      </c>
      <c r="D20" s="158"/>
      <c r="E20" s="159">
        <f>E19*$D$20</f>
        <v>0</v>
      </c>
      <c r="F20" s="159">
        <f t="shared" ref="F20:P20" si="3">F19*$D$20</f>
        <v>0</v>
      </c>
      <c r="G20" s="159">
        <f t="shared" si="3"/>
        <v>0</v>
      </c>
      <c r="H20" s="159">
        <f t="shared" si="3"/>
        <v>0</v>
      </c>
      <c r="I20" s="159">
        <f t="shared" si="3"/>
        <v>0</v>
      </c>
      <c r="J20" s="159">
        <f t="shared" si="3"/>
        <v>0</v>
      </c>
      <c r="K20" s="159">
        <f t="shared" si="3"/>
        <v>0</v>
      </c>
      <c r="L20" s="159">
        <f t="shared" si="3"/>
        <v>0</v>
      </c>
      <c r="M20" s="159">
        <f t="shared" si="3"/>
        <v>0</v>
      </c>
      <c r="N20" s="159">
        <f t="shared" si="3"/>
        <v>0</v>
      </c>
      <c r="O20" s="159">
        <f t="shared" si="3"/>
        <v>0</v>
      </c>
      <c r="P20" s="160">
        <f t="shared" si="3"/>
        <v>0</v>
      </c>
      <c r="R20" s="161">
        <f t="shared" si="0"/>
        <v>0</v>
      </c>
    </row>
    <row r="21" spans="1:23" ht="12.75" hidden="1" customHeight="1" x14ac:dyDescent="0.3">
      <c r="A21" s="379"/>
      <c r="B21" s="380"/>
      <c r="C21" s="154" t="s">
        <v>92</v>
      </c>
      <c r="D21" s="155">
        <f>D22*100%/D42</f>
        <v>0</v>
      </c>
      <c r="E21" s="155"/>
      <c r="F21" s="155"/>
      <c r="G21" s="155"/>
      <c r="H21" s="155"/>
      <c r="I21" s="155"/>
      <c r="J21" s="155"/>
      <c r="K21" s="155"/>
      <c r="L21" s="155"/>
      <c r="M21" s="155">
        <v>0.5</v>
      </c>
      <c r="N21" s="155">
        <v>0.5</v>
      </c>
      <c r="O21" s="155"/>
      <c r="P21" s="156"/>
      <c r="R21" s="161">
        <f t="shared" si="0"/>
        <v>1</v>
      </c>
    </row>
    <row r="22" spans="1:23" ht="12.75" hidden="1" customHeight="1" x14ac:dyDescent="0.3">
      <c r="A22" s="379"/>
      <c r="B22" s="380"/>
      <c r="C22" s="154" t="s">
        <v>93</v>
      </c>
      <c r="D22" s="158"/>
      <c r="E22" s="159">
        <f>E21*$D$22</f>
        <v>0</v>
      </c>
      <c r="F22" s="159">
        <f t="shared" ref="F22:P22" si="4">F21*$D$22</f>
        <v>0</v>
      </c>
      <c r="G22" s="159">
        <f t="shared" si="4"/>
        <v>0</v>
      </c>
      <c r="H22" s="159">
        <f t="shared" si="4"/>
        <v>0</v>
      </c>
      <c r="I22" s="159">
        <f t="shared" si="4"/>
        <v>0</v>
      </c>
      <c r="J22" s="159">
        <f t="shared" si="4"/>
        <v>0</v>
      </c>
      <c r="K22" s="159">
        <f t="shared" si="4"/>
        <v>0</v>
      </c>
      <c r="L22" s="159">
        <f t="shared" si="4"/>
        <v>0</v>
      </c>
      <c r="M22" s="159">
        <f t="shared" si="4"/>
        <v>0</v>
      </c>
      <c r="N22" s="159">
        <f>N21*$D$22</f>
        <v>0</v>
      </c>
      <c r="O22" s="159">
        <f t="shared" si="4"/>
        <v>0</v>
      </c>
      <c r="P22" s="160">
        <f t="shared" si="4"/>
        <v>0</v>
      </c>
      <c r="R22" s="161">
        <f t="shared" si="0"/>
        <v>0</v>
      </c>
    </row>
    <row r="23" spans="1:23" ht="12.75" hidden="1" customHeight="1" x14ac:dyDescent="0.3">
      <c r="A23" s="379"/>
      <c r="B23" s="380"/>
      <c r="C23" s="154" t="s">
        <v>92</v>
      </c>
      <c r="D23" s="155">
        <f>D24*100%/D42</f>
        <v>0</v>
      </c>
      <c r="E23" s="155"/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6">
        <v>1</v>
      </c>
      <c r="R23" s="161">
        <f t="shared" si="0"/>
        <v>1</v>
      </c>
    </row>
    <row r="24" spans="1:23" ht="12.75" hidden="1" customHeight="1" x14ac:dyDescent="0.3">
      <c r="A24" s="379"/>
      <c r="B24" s="380"/>
      <c r="C24" s="154" t="s">
        <v>93</v>
      </c>
      <c r="D24" s="158"/>
      <c r="E24" s="159">
        <f>E23*$D$24</f>
        <v>0</v>
      </c>
      <c r="F24" s="159">
        <f t="shared" ref="F24:P24" si="5">F23*$D$24</f>
        <v>0</v>
      </c>
      <c r="G24" s="159">
        <f t="shared" si="5"/>
        <v>0</v>
      </c>
      <c r="H24" s="159">
        <f t="shared" si="5"/>
        <v>0</v>
      </c>
      <c r="I24" s="159">
        <f t="shared" si="5"/>
        <v>0</v>
      </c>
      <c r="J24" s="159">
        <f t="shared" si="5"/>
        <v>0</v>
      </c>
      <c r="K24" s="159">
        <f t="shared" si="5"/>
        <v>0</v>
      </c>
      <c r="L24" s="159">
        <f t="shared" si="5"/>
        <v>0</v>
      </c>
      <c r="M24" s="159">
        <f t="shared" si="5"/>
        <v>0</v>
      </c>
      <c r="N24" s="159">
        <f t="shared" si="5"/>
        <v>0</v>
      </c>
      <c r="O24" s="159">
        <f t="shared" si="5"/>
        <v>0</v>
      </c>
      <c r="P24" s="160">
        <f t="shared" si="5"/>
        <v>0</v>
      </c>
      <c r="R24" s="161">
        <f t="shared" si="0"/>
        <v>0</v>
      </c>
    </row>
    <row r="25" spans="1:23" ht="12.75" hidden="1" customHeight="1" x14ac:dyDescent="0.3">
      <c r="A25" s="379"/>
      <c r="B25" s="380"/>
      <c r="C25" s="154" t="s">
        <v>92</v>
      </c>
      <c r="D25" s="155">
        <f>D26*100%/D42</f>
        <v>0</v>
      </c>
      <c r="E25" s="155"/>
      <c r="F25" s="155"/>
      <c r="G25" s="155"/>
      <c r="H25" s="155"/>
      <c r="I25" s="155"/>
      <c r="J25" s="155"/>
      <c r="K25" s="155"/>
      <c r="L25" s="155"/>
      <c r="M25" s="155"/>
      <c r="N25" s="155">
        <v>0.5</v>
      </c>
      <c r="O25" s="155">
        <v>0.5</v>
      </c>
      <c r="P25" s="156"/>
      <c r="R25" s="161">
        <f t="shared" si="0"/>
        <v>1</v>
      </c>
    </row>
    <row r="26" spans="1:23" ht="12.75" hidden="1" customHeight="1" x14ac:dyDescent="0.3">
      <c r="A26" s="379"/>
      <c r="B26" s="380"/>
      <c r="C26" s="154" t="s">
        <v>93</v>
      </c>
      <c r="D26" s="158"/>
      <c r="E26" s="159">
        <f>E25*$D$26</f>
        <v>0</v>
      </c>
      <c r="F26" s="159">
        <f t="shared" ref="F26:P26" si="6">F25*$D$26</f>
        <v>0</v>
      </c>
      <c r="G26" s="159">
        <f t="shared" si="6"/>
        <v>0</v>
      </c>
      <c r="H26" s="159">
        <f t="shared" si="6"/>
        <v>0</v>
      </c>
      <c r="I26" s="159">
        <f t="shared" si="6"/>
        <v>0</v>
      </c>
      <c r="J26" s="159">
        <f t="shared" si="6"/>
        <v>0</v>
      </c>
      <c r="K26" s="159">
        <f t="shared" si="6"/>
        <v>0</v>
      </c>
      <c r="L26" s="159">
        <f t="shared" si="6"/>
        <v>0</v>
      </c>
      <c r="M26" s="159">
        <f t="shared" si="6"/>
        <v>0</v>
      </c>
      <c r="N26" s="159">
        <f t="shared" si="6"/>
        <v>0</v>
      </c>
      <c r="O26" s="159">
        <f t="shared" si="6"/>
        <v>0</v>
      </c>
      <c r="P26" s="160">
        <f t="shared" si="6"/>
        <v>0</v>
      </c>
      <c r="R26" s="161">
        <f t="shared" si="0"/>
        <v>0</v>
      </c>
    </row>
    <row r="27" spans="1:23" ht="12.75" hidden="1" customHeight="1" x14ac:dyDescent="0.3">
      <c r="A27" s="379"/>
      <c r="B27" s="380"/>
      <c r="C27" s="154" t="s">
        <v>92</v>
      </c>
      <c r="D27" s="162">
        <f>D28*100%/D$42</f>
        <v>0</v>
      </c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6">
        <v>1</v>
      </c>
      <c r="R27" s="161">
        <f t="shared" si="0"/>
        <v>1</v>
      </c>
    </row>
    <row r="28" spans="1:23" ht="12.75" hidden="1" customHeight="1" x14ac:dyDescent="0.3">
      <c r="A28" s="379"/>
      <c r="B28" s="380"/>
      <c r="C28" s="154" t="s">
        <v>93</v>
      </c>
      <c r="D28" s="163"/>
      <c r="E28" s="159">
        <f t="shared" ref="E28:P28" si="7">E27*$D$28</f>
        <v>0</v>
      </c>
      <c r="F28" s="159">
        <f t="shared" si="7"/>
        <v>0</v>
      </c>
      <c r="G28" s="159">
        <f t="shared" si="7"/>
        <v>0</v>
      </c>
      <c r="H28" s="159">
        <f t="shared" si="7"/>
        <v>0</v>
      </c>
      <c r="I28" s="159">
        <f t="shared" si="7"/>
        <v>0</v>
      </c>
      <c r="J28" s="159">
        <f t="shared" si="7"/>
        <v>0</v>
      </c>
      <c r="K28" s="159">
        <f t="shared" si="7"/>
        <v>0</v>
      </c>
      <c r="L28" s="159">
        <f t="shared" si="7"/>
        <v>0</v>
      </c>
      <c r="M28" s="159">
        <f t="shared" si="7"/>
        <v>0</v>
      </c>
      <c r="N28" s="159">
        <f t="shared" si="7"/>
        <v>0</v>
      </c>
      <c r="O28" s="159">
        <f t="shared" si="7"/>
        <v>0</v>
      </c>
      <c r="P28" s="160">
        <f t="shared" si="7"/>
        <v>0</v>
      </c>
      <c r="R28" s="161">
        <f t="shared" si="0"/>
        <v>0</v>
      </c>
    </row>
    <row r="29" spans="1:23" ht="12.75" hidden="1" customHeight="1" x14ac:dyDescent="0.3">
      <c r="A29" s="379"/>
      <c r="B29" s="389"/>
      <c r="C29" s="164" t="s">
        <v>92</v>
      </c>
      <c r="D29" s="162">
        <f>D30*100%/D$42</f>
        <v>0</v>
      </c>
      <c r="E29" s="155"/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6">
        <v>1</v>
      </c>
      <c r="R29" s="161">
        <f t="shared" si="0"/>
        <v>1</v>
      </c>
    </row>
    <row r="30" spans="1:23" ht="12.75" hidden="1" customHeight="1" x14ac:dyDescent="0.3">
      <c r="A30" s="379"/>
      <c r="B30" s="380"/>
      <c r="C30" s="154" t="s">
        <v>93</v>
      </c>
      <c r="D30" s="163"/>
      <c r="E30" s="159">
        <f t="shared" ref="E30:J30" si="8">E29*$D$28</f>
        <v>0</v>
      </c>
      <c r="F30" s="159">
        <f t="shared" si="8"/>
        <v>0</v>
      </c>
      <c r="G30" s="159">
        <f t="shared" si="8"/>
        <v>0</v>
      </c>
      <c r="H30" s="159">
        <f t="shared" si="8"/>
        <v>0</v>
      </c>
      <c r="I30" s="159">
        <f t="shared" si="8"/>
        <v>0</v>
      </c>
      <c r="J30" s="159">
        <f t="shared" si="8"/>
        <v>0</v>
      </c>
      <c r="K30" s="159">
        <f>K29*$D$30</f>
        <v>0</v>
      </c>
      <c r="L30" s="159">
        <f>L29*$D$28</f>
        <v>0</v>
      </c>
      <c r="M30" s="159">
        <f>M29*$D$28</f>
        <v>0</v>
      </c>
      <c r="N30" s="159">
        <f>N29*$D$28</f>
        <v>0</v>
      </c>
      <c r="O30" s="159">
        <f>O29*$D$28</f>
        <v>0</v>
      </c>
      <c r="P30" s="160">
        <f>P29*$D$30</f>
        <v>0</v>
      </c>
      <c r="R30" s="161">
        <f t="shared" si="0"/>
        <v>0</v>
      </c>
    </row>
    <row r="31" spans="1:23" ht="12.75" hidden="1" customHeight="1" x14ac:dyDescent="0.3">
      <c r="A31" s="390"/>
      <c r="B31" s="389"/>
      <c r="C31" s="164" t="s">
        <v>92</v>
      </c>
      <c r="D31" s="162">
        <f>D32*100%/D$42</f>
        <v>0</v>
      </c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6"/>
      <c r="R31" s="161">
        <f t="shared" si="0"/>
        <v>0</v>
      </c>
    </row>
    <row r="32" spans="1:23" ht="12.75" hidden="1" customHeight="1" x14ac:dyDescent="0.3">
      <c r="A32" s="379"/>
      <c r="B32" s="380"/>
      <c r="C32" s="154" t="s">
        <v>93</v>
      </c>
      <c r="D32" s="163"/>
      <c r="E32" s="159">
        <f>E31*$D$16</f>
        <v>0</v>
      </c>
      <c r="F32" s="159">
        <f t="shared" ref="F32:O32" si="9">F31*$D$16</f>
        <v>0</v>
      </c>
      <c r="G32" s="159">
        <f t="shared" si="9"/>
        <v>0</v>
      </c>
      <c r="H32" s="159">
        <f t="shared" si="9"/>
        <v>0</v>
      </c>
      <c r="I32" s="159">
        <f t="shared" si="9"/>
        <v>0</v>
      </c>
      <c r="J32" s="159">
        <f t="shared" si="9"/>
        <v>0</v>
      </c>
      <c r="K32" s="159">
        <f>K31*$D$32</f>
        <v>0</v>
      </c>
      <c r="L32" s="159">
        <f t="shared" si="9"/>
        <v>0</v>
      </c>
      <c r="M32" s="159">
        <f t="shared" si="9"/>
        <v>0</v>
      </c>
      <c r="N32" s="159">
        <f t="shared" si="9"/>
        <v>0</v>
      </c>
      <c r="O32" s="159">
        <f t="shared" si="9"/>
        <v>0</v>
      </c>
      <c r="P32" s="160">
        <f>P31*$D$32</f>
        <v>0</v>
      </c>
      <c r="R32" s="161">
        <f t="shared" si="0"/>
        <v>0</v>
      </c>
    </row>
    <row r="33" spans="1:18" ht="12.75" hidden="1" customHeight="1" x14ac:dyDescent="0.3">
      <c r="A33" s="379"/>
      <c r="B33" s="380"/>
      <c r="C33" s="154" t="s">
        <v>92</v>
      </c>
      <c r="D33" s="162">
        <f>D34*100%/D$42</f>
        <v>0</v>
      </c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6"/>
      <c r="R33" s="161">
        <f t="shared" si="0"/>
        <v>0</v>
      </c>
    </row>
    <row r="34" spans="1:18" ht="12.75" hidden="1" customHeight="1" x14ac:dyDescent="0.3">
      <c r="A34" s="379"/>
      <c r="B34" s="380"/>
      <c r="C34" s="154" t="s">
        <v>93</v>
      </c>
      <c r="D34" s="163"/>
      <c r="E34" s="159">
        <f>E33*$D$18</f>
        <v>0</v>
      </c>
      <c r="F34" s="159">
        <f t="shared" ref="F34:O34" si="10">F33*$D$18</f>
        <v>0</v>
      </c>
      <c r="G34" s="159">
        <f t="shared" si="10"/>
        <v>0</v>
      </c>
      <c r="H34" s="159">
        <f t="shared" si="10"/>
        <v>0</v>
      </c>
      <c r="I34" s="159">
        <f t="shared" si="10"/>
        <v>0</v>
      </c>
      <c r="J34" s="159">
        <f t="shared" si="10"/>
        <v>0</v>
      </c>
      <c r="K34" s="159">
        <f t="shared" si="10"/>
        <v>0</v>
      </c>
      <c r="L34" s="159">
        <f>L33*$D$34</f>
        <v>0</v>
      </c>
      <c r="M34" s="159">
        <f t="shared" si="10"/>
        <v>0</v>
      </c>
      <c r="N34" s="159">
        <f t="shared" si="10"/>
        <v>0</v>
      </c>
      <c r="O34" s="159">
        <f t="shared" si="10"/>
        <v>0</v>
      </c>
      <c r="P34" s="160">
        <f>P33*$D$34</f>
        <v>0</v>
      </c>
      <c r="R34" s="161">
        <f t="shared" si="0"/>
        <v>0</v>
      </c>
    </row>
    <row r="35" spans="1:18" ht="12.75" hidden="1" customHeight="1" x14ac:dyDescent="0.3">
      <c r="A35" s="379"/>
      <c r="B35" s="380"/>
      <c r="C35" s="154"/>
      <c r="D35" s="155"/>
      <c r="E35" s="155"/>
      <c r="F35" s="155"/>
      <c r="G35" s="155"/>
      <c r="H35" s="165"/>
      <c r="I35" s="166"/>
      <c r="J35" s="167"/>
      <c r="K35" s="166"/>
      <c r="L35" s="167"/>
      <c r="M35" s="166"/>
      <c r="N35" s="167"/>
      <c r="O35" s="166"/>
      <c r="P35" s="168"/>
      <c r="R35" s="161">
        <f t="shared" si="0"/>
        <v>0</v>
      </c>
    </row>
    <row r="36" spans="1:18" ht="12.75" hidden="1" customHeight="1" x14ac:dyDescent="0.3">
      <c r="A36" s="379"/>
      <c r="B36" s="380"/>
      <c r="C36" s="154"/>
      <c r="D36" s="158"/>
      <c r="E36" s="158"/>
      <c r="F36" s="158"/>
      <c r="G36" s="158"/>
      <c r="H36" s="158"/>
      <c r="I36" s="158"/>
      <c r="J36" s="169"/>
      <c r="K36" s="158"/>
      <c r="L36" s="169"/>
      <c r="M36" s="158"/>
      <c r="N36" s="169"/>
      <c r="O36" s="158"/>
      <c r="P36" s="170"/>
      <c r="R36" s="161">
        <f t="shared" si="0"/>
        <v>0</v>
      </c>
    </row>
    <row r="37" spans="1:18" ht="12.75" customHeight="1" x14ac:dyDescent="0.3">
      <c r="A37" s="387">
        <v>3</v>
      </c>
      <c r="B37" s="388" t="str">
        <f>'Planilha Orçamentária'!D31</f>
        <v>DRENAGEM SUPERFICIAL</v>
      </c>
      <c r="C37" s="154" t="s">
        <v>92</v>
      </c>
      <c r="D37" s="155">
        <f>D38*100%/D42</f>
        <v>0.26700512907947227</v>
      </c>
      <c r="E37" s="155">
        <v>0.8</v>
      </c>
      <c r="F37" s="155">
        <v>0.2</v>
      </c>
      <c r="G37" s="155">
        <v>0</v>
      </c>
      <c r="H37" s="155"/>
      <c r="I37" s="155"/>
      <c r="J37" s="155"/>
      <c r="K37" s="155"/>
      <c r="L37" s="155"/>
      <c r="M37" s="155"/>
      <c r="N37" s="155"/>
      <c r="O37" s="155"/>
      <c r="P37" s="156"/>
      <c r="R37" s="157">
        <f t="shared" si="0"/>
        <v>1</v>
      </c>
    </row>
    <row r="38" spans="1:18" ht="12.75" customHeight="1" x14ac:dyDescent="0.3">
      <c r="A38" s="387"/>
      <c r="B38" s="388"/>
      <c r="C38" s="154" t="s">
        <v>93</v>
      </c>
      <c r="D38" s="158">
        <f>'Planilha Orçamentária'!I31</f>
        <v>18800.3004</v>
      </c>
      <c r="E38" s="159">
        <f>E37*D38</f>
        <v>15040.240320000001</v>
      </c>
      <c r="F38" s="159">
        <f>F37*D38</f>
        <v>3760.0600800000002</v>
      </c>
      <c r="G38" s="159">
        <f t="shared" ref="G38:P38" si="11">G37*$D$18</f>
        <v>0</v>
      </c>
      <c r="H38" s="159">
        <f t="shared" si="11"/>
        <v>0</v>
      </c>
      <c r="I38" s="159">
        <f t="shared" si="11"/>
        <v>0</v>
      </c>
      <c r="J38" s="159">
        <f t="shared" si="11"/>
        <v>0</v>
      </c>
      <c r="K38" s="159">
        <f t="shared" si="11"/>
        <v>0</v>
      </c>
      <c r="L38" s="159">
        <f t="shared" si="11"/>
        <v>0</v>
      </c>
      <c r="M38" s="159">
        <f t="shared" si="11"/>
        <v>0</v>
      </c>
      <c r="N38" s="159">
        <f t="shared" si="11"/>
        <v>0</v>
      </c>
      <c r="O38" s="159">
        <f t="shared" si="11"/>
        <v>0</v>
      </c>
      <c r="P38" s="160">
        <f t="shared" si="11"/>
        <v>0</v>
      </c>
      <c r="R38" s="161">
        <f t="shared" si="0"/>
        <v>18800.3004</v>
      </c>
    </row>
    <row r="39" spans="1:18" ht="12.75" customHeight="1" x14ac:dyDescent="0.3">
      <c r="A39" s="387">
        <v>3</v>
      </c>
      <c r="B39" s="388" t="str">
        <f>'Planilha Orçamentária'!D36</f>
        <v>ADMINISTRAÇÃO LOCAL</v>
      </c>
      <c r="C39" s="154" t="s">
        <v>92</v>
      </c>
      <c r="D39" s="155">
        <f>D40*100%/D42</f>
        <v>2.5430127915781676E-2</v>
      </c>
      <c r="E39" s="155">
        <v>0.73429999999999995</v>
      </c>
      <c r="F39" s="155">
        <v>0.26569999999999999</v>
      </c>
      <c r="G39" s="155">
        <v>0</v>
      </c>
      <c r="H39" s="155"/>
      <c r="I39" s="155"/>
      <c r="J39" s="155"/>
      <c r="K39" s="155"/>
      <c r="L39" s="155"/>
      <c r="M39" s="155"/>
      <c r="N39" s="155"/>
      <c r="O39" s="155"/>
      <c r="P39" s="156"/>
      <c r="R39" s="157">
        <f t="shared" ref="R39:R40" si="12">SUM(E39:Q39)</f>
        <v>1</v>
      </c>
    </row>
    <row r="40" spans="1:18" ht="12.75" customHeight="1" x14ac:dyDescent="0.3">
      <c r="A40" s="387"/>
      <c r="B40" s="388"/>
      <c r="C40" s="154" t="s">
        <v>93</v>
      </c>
      <c r="D40" s="158">
        <f>'Planilha Orçamentária'!I36</f>
        <v>1790.58</v>
      </c>
      <c r="E40" s="159">
        <f>E39*D40</f>
        <v>1314.8228939999999</v>
      </c>
      <c r="F40" s="159">
        <f>F39*D40</f>
        <v>475.75710599999996</v>
      </c>
      <c r="G40" s="159">
        <f t="shared" ref="G40:O40" si="13">G39*$D$18</f>
        <v>0</v>
      </c>
      <c r="H40" s="159">
        <f t="shared" si="13"/>
        <v>0</v>
      </c>
      <c r="I40" s="159">
        <f t="shared" si="13"/>
        <v>0</v>
      </c>
      <c r="J40" s="159">
        <f t="shared" si="13"/>
        <v>0</v>
      </c>
      <c r="K40" s="159">
        <f t="shared" si="13"/>
        <v>0</v>
      </c>
      <c r="L40" s="159">
        <f t="shared" si="13"/>
        <v>0</v>
      </c>
      <c r="M40" s="159">
        <f t="shared" si="13"/>
        <v>0</v>
      </c>
      <c r="N40" s="159">
        <f t="shared" si="13"/>
        <v>0</v>
      </c>
      <c r="O40" s="159">
        <f t="shared" si="13"/>
        <v>0</v>
      </c>
      <c r="P40" s="156"/>
      <c r="R40" s="161">
        <f t="shared" si="12"/>
        <v>1790.58</v>
      </c>
    </row>
    <row r="41" spans="1:18" x14ac:dyDescent="0.3">
      <c r="A41" s="381" t="s">
        <v>94</v>
      </c>
      <c r="B41" s="382"/>
      <c r="C41" s="171" t="s">
        <v>92</v>
      </c>
      <c r="D41" s="172">
        <f>D15+D17+D37+D39</f>
        <v>1</v>
      </c>
      <c r="E41" s="172">
        <f>E42*100%/$D$42</f>
        <v>0.73672018858498156</v>
      </c>
      <c r="F41" s="172">
        <f>F42*100%/$D$42</f>
        <v>0.26327981141501833</v>
      </c>
      <c r="G41" s="172">
        <f t="shared" ref="G41:P41" si="14">G42*100%/$D$42</f>
        <v>0</v>
      </c>
      <c r="H41" s="172">
        <f t="shared" si="14"/>
        <v>0</v>
      </c>
      <c r="I41" s="172">
        <f t="shared" si="14"/>
        <v>0</v>
      </c>
      <c r="J41" s="172">
        <f t="shared" si="14"/>
        <v>0</v>
      </c>
      <c r="K41" s="172">
        <f t="shared" si="14"/>
        <v>0</v>
      </c>
      <c r="L41" s="172">
        <f t="shared" si="14"/>
        <v>0</v>
      </c>
      <c r="M41" s="172">
        <f t="shared" si="14"/>
        <v>0</v>
      </c>
      <c r="N41" s="172">
        <f t="shared" si="14"/>
        <v>0</v>
      </c>
      <c r="O41" s="172">
        <f t="shared" si="14"/>
        <v>0</v>
      </c>
      <c r="P41" s="156">
        <f t="shared" si="14"/>
        <v>0</v>
      </c>
      <c r="R41" s="157">
        <f>SUM(E41:Q41)</f>
        <v>0.99999999999999989</v>
      </c>
    </row>
    <row r="42" spans="1:18" ht="14.4" thickBot="1" x14ac:dyDescent="0.35">
      <c r="A42" s="383"/>
      <c r="B42" s="384"/>
      <c r="C42" s="173" t="s">
        <v>93</v>
      </c>
      <c r="D42" s="174">
        <f>D16+D18+D38+D40</f>
        <v>70411.757500000007</v>
      </c>
      <c r="E42" s="174">
        <f>E16+E18+E38+E40</f>
        <v>51873.763263999994</v>
      </c>
      <c r="F42" s="174">
        <f>F16+F18+F38+F40</f>
        <v>18537.994236000002</v>
      </c>
      <c r="G42" s="174">
        <f t="shared" ref="G42:P42" si="15">G16+G18</f>
        <v>0</v>
      </c>
      <c r="H42" s="174">
        <f t="shared" si="15"/>
        <v>0</v>
      </c>
      <c r="I42" s="174">
        <f t="shared" si="15"/>
        <v>0</v>
      </c>
      <c r="J42" s="174">
        <f t="shared" si="15"/>
        <v>0</v>
      </c>
      <c r="K42" s="174">
        <f t="shared" si="15"/>
        <v>0</v>
      </c>
      <c r="L42" s="174">
        <f t="shared" si="15"/>
        <v>0</v>
      </c>
      <c r="M42" s="174">
        <f t="shared" si="15"/>
        <v>0</v>
      </c>
      <c r="N42" s="174">
        <f t="shared" si="15"/>
        <v>0</v>
      </c>
      <c r="O42" s="174">
        <f t="shared" si="15"/>
        <v>0</v>
      </c>
      <c r="P42" s="160">
        <f t="shared" si="15"/>
        <v>0</v>
      </c>
      <c r="R42" s="161">
        <f>SUM(E42:Q42)</f>
        <v>70411.757499999992</v>
      </c>
    </row>
    <row r="43" spans="1:18" x14ac:dyDescent="0.3">
      <c r="A43" s="175"/>
      <c r="B43" s="176"/>
      <c r="C43" s="177"/>
      <c r="D43" s="177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8"/>
    </row>
    <row r="44" spans="1:18" ht="14.4" thickBot="1" x14ac:dyDescent="0.35">
      <c r="A44" s="175"/>
      <c r="B44" s="176"/>
      <c r="C44" s="177"/>
      <c r="D44" s="177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8"/>
      <c r="R44" s="179">
        <f>R18+R16+R38+R40</f>
        <v>70411.757499999992</v>
      </c>
    </row>
    <row r="45" spans="1:18" ht="27.6" x14ac:dyDescent="0.3">
      <c r="A45" s="180"/>
      <c r="B45" s="181" t="s">
        <v>95</v>
      </c>
      <c r="C45" s="181"/>
      <c r="D45" s="181"/>
      <c r="E45" s="181"/>
      <c r="F45" s="182"/>
      <c r="G45" s="183"/>
      <c r="H45" s="138"/>
      <c r="I45" s="138"/>
      <c r="J45" s="138"/>
      <c r="K45" s="138"/>
      <c r="L45" s="138"/>
      <c r="M45" s="138"/>
      <c r="N45" s="138"/>
      <c r="O45" s="138"/>
      <c r="P45" s="140"/>
      <c r="R45" s="135" t="s">
        <v>96</v>
      </c>
    </row>
    <row r="46" spans="1:18" x14ac:dyDescent="0.3">
      <c r="A46" s="184"/>
      <c r="B46" s="185" t="str">
        <f>'Planilha Orçamentária'!C44</f>
        <v>ENGENHEIRO</v>
      </c>
      <c r="C46" s="186"/>
      <c r="D46" s="385" t="s">
        <v>156</v>
      </c>
      <c r="E46" s="386"/>
      <c r="F46" s="187"/>
      <c r="G46" s="188" t="s">
        <v>97</v>
      </c>
      <c r="P46" s="189"/>
    </row>
    <row r="47" spans="1:18" x14ac:dyDescent="0.3">
      <c r="A47" s="190"/>
      <c r="B47" s="185" t="str">
        <f>'Planilha Orçamentária'!C45</f>
        <v>R.T EMPRESA</v>
      </c>
      <c r="D47" s="377"/>
      <c r="E47" s="378"/>
      <c r="F47" s="187"/>
      <c r="G47" s="192"/>
      <c r="P47" s="189"/>
      <c r="R47" s="135">
        <v>73.430000000000007</v>
      </c>
    </row>
    <row r="48" spans="1:18" x14ac:dyDescent="0.3">
      <c r="A48" s="193"/>
      <c r="B48" s="185"/>
      <c r="F48" s="187"/>
      <c r="G48" s="192"/>
      <c r="P48" s="189"/>
      <c r="R48" s="135">
        <v>26.57</v>
      </c>
    </row>
    <row r="49" spans="1:16" x14ac:dyDescent="0.3">
      <c r="A49" s="194"/>
      <c r="B49" s="185"/>
      <c r="C49" s="195"/>
      <c r="D49" s="195"/>
      <c r="E49" s="196"/>
      <c r="F49" s="187"/>
      <c r="G49" s="192"/>
      <c r="P49" s="189"/>
    </row>
    <row r="50" spans="1:16" x14ac:dyDescent="0.3">
      <c r="A50" s="194"/>
      <c r="B50" s="185"/>
      <c r="C50" s="195"/>
      <c r="D50" s="195"/>
      <c r="E50" s="196"/>
      <c r="F50" s="187"/>
      <c r="G50" s="192"/>
      <c r="P50" s="189"/>
    </row>
    <row r="51" spans="1:16" x14ac:dyDescent="0.3">
      <c r="A51" s="194"/>
      <c r="B51" s="203"/>
      <c r="C51" s="195"/>
      <c r="D51" s="195"/>
      <c r="E51" s="196"/>
      <c r="F51" s="187"/>
      <c r="G51" s="192"/>
      <c r="P51" s="189"/>
    </row>
    <row r="52" spans="1:16" x14ac:dyDescent="0.3">
      <c r="A52" s="194"/>
      <c r="B52" s="185" t="str">
        <f>'Planilha Orçamentária'!C50</f>
        <v>EMPRESA</v>
      </c>
      <c r="C52" s="195"/>
      <c r="D52" s="195"/>
      <c r="E52" s="196"/>
      <c r="F52" s="187"/>
      <c r="G52" s="192"/>
      <c r="P52" s="189"/>
    </row>
    <row r="53" spans="1:16" ht="14.4" thickBot="1" x14ac:dyDescent="0.35">
      <c r="A53" s="197"/>
      <c r="B53" s="204" t="str">
        <f>'Planilha Orçamentária'!C51</f>
        <v>REPRESENTANTE EMPRESA</v>
      </c>
      <c r="C53" s="198"/>
      <c r="D53" s="198"/>
      <c r="E53" s="142"/>
      <c r="F53" s="199"/>
      <c r="G53" s="200"/>
      <c r="H53" s="142"/>
      <c r="I53" s="142"/>
      <c r="J53" s="142"/>
      <c r="K53" s="142"/>
      <c r="L53" s="142"/>
      <c r="M53" s="142"/>
      <c r="N53" s="142"/>
      <c r="O53" s="142"/>
      <c r="P53" s="144"/>
    </row>
    <row r="54" spans="1:16" x14ac:dyDescent="0.3">
      <c r="A54" s="148"/>
      <c r="B54" s="185"/>
      <c r="C54" s="201"/>
      <c r="D54" s="201"/>
    </row>
    <row r="55" spans="1:16" x14ac:dyDescent="0.3">
      <c r="A55" s="148"/>
      <c r="B55" s="191"/>
      <c r="C55" s="201"/>
      <c r="D55" s="201"/>
    </row>
    <row r="56" spans="1:16" x14ac:dyDescent="0.3">
      <c r="A56" s="148"/>
      <c r="B56" s="191"/>
      <c r="C56" s="201"/>
      <c r="D56" s="201"/>
    </row>
  </sheetData>
  <mergeCells count="40">
    <mergeCell ref="A10:P10"/>
    <mergeCell ref="A3:P3"/>
    <mergeCell ref="A4:P4"/>
    <mergeCell ref="A5:P5"/>
    <mergeCell ref="A6:P6"/>
    <mergeCell ref="A7:P7"/>
    <mergeCell ref="H12:P12"/>
    <mergeCell ref="A13:B13"/>
    <mergeCell ref="C13:G13"/>
    <mergeCell ref="H13:P13"/>
    <mergeCell ref="A15:A16"/>
    <mergeCell ref="B15:B16"/>
    <mergeCell ref="A17:A18"/>
    <mergeCell ref="B17:B18"/>
    <mergeCell ref="A19:A20"/>
    <mergeCell ref="B19:B20"/>
    <mergeCell ref="A12:B12"/>
    <mergeCell ref="A21:A22"/>
    <mergeCell ref="B21:B22"/>
    <mergeCell ref="A23:A24"/>
    <mergeCell ref="B23:B24"/>
    <mergeCell ref="A25:A26"/>
    <mergeCell ref="B25:B26"/>
    <mergeCell ref="A27:A28"/>
    <mergeCell ref="B27:B28"/>
    <mergeCell ref="A29:A30"/>
    <mergeCell ref="B29:B30"/>
    <mergeCell ref="A31:A32"/>
    <mergeCell ref="B31:B32"/>
    <mergeCell ref="D47:E47"/>
    <mergeCell ref="A33:A34"/>
    <mergeCell ref="B33:B34"/>
    <mergeCell ref="A35:A36"/>
    <mergeCell ref="B35:B36"/>
    <mergeCell ref="A41:B42"/>
    <mergeCell ref="D46:E46"/>
    <mergeCell ref="A37:A38"/>
    <mergeCell ref="B37:B38"/>
    <mergeCell ref="A39:A40"/>
    <mergeCell ref="B39:B40"/>
  </mergeCells>
  <pageMargins left="0.511811024" right="0.511811024" top="0.78740157499999996" bottom="0.78740157499999996" header="0.31496062000000002" footer="0.31496062000000002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Composição</vt:lpstr>
      <vt:lpstr>Planilha Orçamentária</vt:lpstr>
      <vt:lpstr>Memória de Cálculo</vt:lpstr>
      <vt:lpstr>Demonstrativo BDI</vt:lpstr>
      <vt:lpstr>Cronograma Fisico_Financeiro</vt:lpstr>
      <vt:lpstr>Composição!Area_de_impressao</vt:lpstr>
      <vt:lpstr>'Cronograma Fisico_Financeiro'!Area_de_impressao</vt:lpstr>
      <vt:lpstr>'Demonstrativo BDI'!Area_de_impressao</vt:lpstr>
      <vt:lpstr>'Memória de Cálculo'!Area_de_impressao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</dc:creator>
  <cp:lastModifiedBy>CLIFFORD</cp:lastModifiedBy>
  <cp:lastPrinted>2023-07-19T19:32:54Z</cp:lastPrinted>
  <dcterms:created xsi:type="dcterms:W3CDTF">2023-06-19T17:41:08Z</dcterms:created>
  <dcterms:modified xsi:type="dcterms:W3CDTF">2023-07-20T16:37:29Z</dcterms:modified>
</cp:coreProperties>
</file>