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CLIFFORD\Desktop\MEUS DOCUMENTOS\PMIBER_22-23\INFRAESTRUTURA - ABF\LICITAÇÃO LOTE 1 - INFRAESTRUTURA ABF_RP\"/>
    </mc:Choice>
  </mc:AlternateContent>
  <xr:revisionPtr revIDLastSave="0" documentId="13_ncr:1_{1DB74178-D6CF-422B-BAFD-611CA61FACD9}" xr6:coauthVersionLast="36" xr6:coauthVersionMax="36" xr10:uidLastSave="{00000000-0000-0000-0000-000000000000}"/>
  <bookViews>
    <workbookView xWindow="0" yWindow="0" windowWidth="23040" windowHeight="9384" xr2:uid="{00000000-000D-0000-FFFF-FFFF00000000}"/>
  </bookViews>
  <sheets>
    <sheet name="PLANILHA ORÇAMENTÁRIA" sheetId="2" r:id="rId1"/>
    <sheet name="MEMÓRIA DE CÁLCULO" sheetId="8" r:id="rId2"/>
    <sheet name="COMPOSIÇÃO BDI" sheetId="4" r:id="rId3"/>
    <sheet name="COMPOSIÇÕES" sheetId="3" r:id="rId4"/>
    <sheet name="CRONOGRAMA FÍSICO-FINANCEIRO" sheetId="6" r:id="rId5"/>
    <sheet name="Planilha1" sheetId="9" r:id="rId6"/>
  </sheets>
  <externalReferences>
    <externalReference r:id="rId7"/>
    <externalReference r:id="rId8"/>
    <externalReference r:id="rId9"/>
    <externalReference r:id="rId10"/>
  </externalReferences>
  <definedNames>
    <definedName name="ACOMPANHAMENTO" hidden="1">IF(VALUE([1]MENU!$O$4)=2,"BM","PLE")</definedName>
    <definedName name="_xlnm.Print_Area" localSheetId="2">'COMPOSIÇÃO BDI'!$B$1:$K$50</definedName>
    <definedName name="_xlnm.Print_Area" localSheetId="3">COMPOSIÇÕES!$A$1:$H$55</definedName>
    <definedName name="_xlnm.Print_Area" localSheetId="4">'CRONOGRAMA FÍSICO-FINANCEIRO'!$A$1:$K$44</definedName>
    <definedName name="_xlnm.Print_Area" localSheetId="1">'MEMÓRIA DE CÁLCULO'!$A$1:$J$113</definedName>
    <definedName name="_xlnm.Print_Area" localSheetId="0">'PLANILHA ORÇAMENTÁRIA'!$A$1:$K$90</definedName>
    <definedName name="BDI.Opcao" hidden="1">[2]DADOS!$F$18</definedName>
    <definedName name="BDI.TipoObra" hidden="1">[2]BDI!$A$138:$A$146</definedName>
    <definedName name="CONCATENAR" localSheetId="3">CONCATENATE(COMPOSIÇÕES!#REF!," ",COMPOSIÇÕES!#REF!)</definedName>
    <definedName name="CONCATENAR" localSheetId="5">CONCATENATE(Planilha1!#REF!," ",Planilha1!#REF!)</definedName>
    <definedName name="DESONERACAO" hidden="1">IF(OR(Import.Desoneracao="DESONERADO",Import.Desoneracao="SIM"),"SIM","NÃO")</definedName>
    <definedName name="EMPRESAS">OFFSET([3]Cotações!$B$25,1,0):OFFSET([3]Cotações!$H$41,-1,0)</definedName>
    <definedName name="Import.Apelido" hidden="1">[2]DADOS!$F$16</definedName>
    <definedName name="Import.CR" hidden="1">[2]DADOS!$F$7</definedName>
    <definedName name="Import.DescLote" hidden="1">[2]DADOS!$F$17</definedName>
    <definedName name="Import.Desoneracao" hidden="1">OFFSET([2]DADOS!$G$18,0,-1)</definedName>
    <definedName name="Import.Município" hidden="1">[2]DADOS!$F$6</definedName>
    <definedName name="Import.Proponente" hidden="1">[2]DADOS!$F$5</definedName>
    <definedName name="Import.RespOrçamento" hidden="1">[2]DADOS!$F$22:$F$24</definedName>
    <definedName name="Import.SICONV" hidden="1">[2]DADOS!$F$8</definedName>
    <definedName name="INDICES">OFFSET([3]Cotações!$B$20,1,0):OFFSET([3]Cotações!$I$24,-1,0)</definedName>
    <definedName name="NCOMPOSICOES">17</definedName>
    <definedName name="ORÇAMENTO.BancoRef" hidden="1">'PLANILHA ORÇAMENTÁRIA'!#REF!</definedName>
    <definedName name="ORÇAMENTO.CustoUnitario" hidden="1">ROUND('PLANILHA ORÇAMENTÁRIA'!$T1,15-13*'PLANILHA ORÇAMENTÁRIA'!#REF!)</definedName>
    <definedName name="ORÇAMENTO.PrecoUnitarioLicitado" hidden="1">'PLANILHA ORÇAMENTÁRIA'!$AK1</definedName>
    <definedName name="REFERENCIA.Descricao" hidden="1">IF(ISNUMBER('PLANILHA ORÇAMENTÁRIA'!$AE1),OFFSET(INDIRECT(ORÇAMENTO.BancoRef),'PLANILHA ORÇAMENTÁRIA'!$AE1-1,3,1),'PLANILHA ORÇAMENTÁRIA'!$AE1)</definedName>
    <definedName name="REFERENCIA.Unidade" hidden="1">IF(ISNUMBER('PLANILHA ORÇAMENTÁRIA'!$AE1),OFFSET(INDIRECT(ORÇAMENTO.BancoRef),'PLANILHA ORÇAMENTÁRIA'!$AE1-1,4,1),"-")</definedName>
    <definedName name="SomaAgrup" hidden="1">SUMIF(OFFSET('PLANILHA ORÇAMENTÁRIA'!$C1,1,0,'PLANILHA ORÇAMENTÁRIA'!$D1),"S",OFFSET('PLANILHA ORÇAMENTÁRIA'!A1,1,0,'PLANILHA ORÇAMENTÁRIA'!$D1))</definedName>
    <definedName name="TIPOORCAMENTO" hidden="1">IF(VALUE([4]MENU!$O$3)=2,"Licitado","Proposto")</definedName>
    <definedName name="_xlnm.Print_Titles" localSheetId="1">'MEMÓRIA DE CÁLCULO'!$1:$13</definedName>
    <definedName name="_xlnm.Print_Titles" localSheetId="0">'PLANILHA ORÇAMENTÁRIA'!$1:$14</definedName>
    <definedName name="VTOTAL1" hidden="1">ROUND('PLANILHA ORÇAMENTÁRIA'!$S1*'PLANILHA ORÇAMENTÁRIA'!$V1,15-13*'PLANILHA ORÇAMENTÁRIA'!#REF!)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6" l="1"/>
  <c r="B41" i="6"/>
  <c r="B40" i="6"/>
  <c r="D2" i="6"/>
  <c r="D53" i="3"/>
  <c r="D54" i="3"/>
  <c r="D52" i="3"/>
  <c r="B4" i="3"/>
  <c r="C50" i="4"/>
  <c r="C49" i="4"/>
  <c r="B4" i="4"/>
  <c r="B3" i="8"/>
  <c r="H49" i="2" l="1"/>
  <c r="M76" i="8"/>
  <c r="G101" i="8" l="1"/>
  <c r="G77" i="2" s="1"/>
  <c r="C26" i="6"/>
  <c r="A26" i="6"/>
  <c r="C24" i="6"/>
  <c r="A24" i="6"/>
  <c r="C22" i="6"/>
  <c r="A22" i="6"/>
  <c r="G74" i="2"/>
  <c r="G97" i="8"/>
  <c r="G73" i="2" s="1"/>
  <c r="G98" i="8"/>
  <c r="G96" i="8"/>
  <c r="G72" i="2" s="1"/>
  <c r="M96" i="8"/>
  <c r="F96" i="8"/>
  <c r="F97" i="8"/>
  <c r="F98" i="8"/>
  <c r="F101" i="8"/>
  <c r="E96" i="8"/>
  <c r="E97" i="8"/>
  <c r="E98" i="8"/>
  <c r="E100" i="8"/>
  <c r="E101" i="8"/>
  <c r="E95" i="8"/>
  <c r="D96" i="8"/>
  <c r="D97" i="8"/>
  <c r="D98" i="8"/>
  <c r="D101" i="8"/>
  <c r="C96" i="8"/>
  <c r="C97" i="8"/>
  <c r="C98" i="8"/>
  <c r="C101" i="8"/>
  <c r="B96" i="8"/>
  <c r="B97" i="8"/>
  <c r="B98" i="8"/>
  <c r="B100" i="8"/>
  <c r="B101" i="8"/>
  <c r="B95" i="8"/>
  <c r="I77" i="2"/>
  <c r="I72" i="2"/>
  <c r="I73" i="2"/>
  <c r="I74" i="2"/>
  <c r="J73" i="2" l="1"/>
  <c r="J77" i="2"/>
  <c r="J76" i="2" s="1"/>
  <c r="E27" i="6" s="1"/>
  <c r="J74" i="2"/>
  <c r="J72" i="2"/>
  <c r="J71" i="2" s="1"/>
  <c r="E25" i="6" s="1"/>
  <c r="M93" i="8"/>
  <c r="G93" i="8" s="1"/>
  <c r="G69" i="2" s="1"/>
  <c r="I69" i="2"/>
  <c r="G87" i="8"/>
  <c r="M92" i="8"/>
  <c r="G92" i="8" s="1"/>
  <c r="G68" i="2" s="1"/>
  <c r="H68" i="2"/>
  <c r="I68" i="2" s="1"/>
  <c r="J68" i="2" l="1"/>
  <c r="J69" i="2"/>
  <c r="M57" i="8"/>
  <c r="M56" i="8"/>
  <c r="M55" i="8"/>
  <c r="J67" i="2" l="1"/>
  <c r="E23" i="6" s="1"/>
  <c r="G56" i="8"/>
  <c r="G35" i="2" s="1"/>
  <c r="G57" i="8"/>
  <c r="G36" i="2" s="1"/>
  <c r="G55" i="8"/>
  <c r="G34" i="2" s="1"/>
  <c r="M54" i="8"/>
  <c r="G54" i="8" s="1"/>
  <c r="G33" i="2" s="1"/>
  <c r="I33" i="2"/>
  <c r="I34" i="2"/>
  <c r="I35" i="2"/>
  <c r="I36" i="2"/>
  <c r="J36" i="2" l="1"/>
  <c r="J35" i="2"/>
  <c r="J34" i="2"/>
  <c r="J33" i="2"/>
  <c r="M64" i="8"/>
  <c r="M63" i="8"/>
  <c r="M62" i="8" l="1"/>
  <c r="C20" i="6"/>
  <c r="A20" i="6"/>
  <c r="C18" i="6"/>
  <c r="A18" i="6"/>
  <c r="C16" i="6"/>
  <c r="A16" i="6"/>
  <c r="C14" i="6"/>
  <c r="A14" i="6"/>
  <c r="G63" i="2"/>
  <c r="H28" i="3"/>
  <c r="H29" i="3"/>
  <c r="H30" i="3"/>
  <c r="H31" i="3"/>
  <c r="H35" i="3"/>
  <c r="H36" i="3"/>
  <c r="M88" i="8"/>
  <c r="M71" i="8"/>
  <c r="G71" i="8" s="1"/>
  <c r="G47" i="2" s="1"/>
  <c r="G70" i="8"/>
  <c r="G46" i="2" s="1"/>
  <c r="G72" i="8"/>
  <c r="G48" i="2" s="1"/>
  <c r="G73" i="8"/>
  <c r="G49" i="2" s="1"/>
  <c r="M68" i="8"/>
  <c r="G68" i="8" s="1"/>
  <c r="G44" i="2" s="1"/>
  <c r="M67" i="8"/>
  <c r="G76" i="8"/>
  <c r="M78" i="8"/>
  <c r="F34" i="3"/>
  <c r="H34" i="3" s="1"/>
  <c r="F32" i="3"/>
  <c r="F33" i="3" s="1"/>
  <c r="H33" i="3" s="1"/>
  <c r="F27" i="3"/>
  <c r="H27" i="3" s="1"/>
  <c r="F26" i="3"/>
  <c r="H26" i="3" s="1"/>
  <c r="M84" i="8" l="1"/>
  <c r="G84" i="8" s="1"/>
  <c r="G88" i="8"/>
  <c r="M83" i="8"/>
  <c r="G83" i="8" s="1"/>
  <c r="G59" i="2" s="1"/>
  <c r="H32" i="3"/>
  <c r="H25" i="3" s="1"/>
  <c r="G60" i="2"/>
  <c r="M89" i="8"/>
  <c r="G89" i="8" s="1"/>
  <c r="G65" i="2"/>
  <c r="G64" i="2"/>
  <c r="G62" i="8"/>
  <c r="G41" i="2" s="1"/>
  <c r="M69" i="8"/>
  <c r="G69" i="8" s="1"/>
  <c r="G45" i="2" s="1"/>
  <c r="M66" i="8"/>
  <c r="G66" i="8" s="1"/>
  <c r="G42" i="2" s="1"/>
  <c r="G67" i="8"/>
  <c r="G43" i="2" s="1"/>
  <c r="M61" i="8"/>
  <c r="G61" i="8" s="1"/>
  <c r="M79" i="8"/>
  <c r="G79" i="8" s="1"/>
  <c r="G55" i="2" s="1"/>
  <c r="M80" i="8"/>
  <c r="G80" i="8" s="1"/>
  <c r="G56" i="2" s="1"/>
  <c r="G78" i="8"/>
  <c r="G54" i="2" s="1"/>
  <c r="G77" i="8"/>
  <c r="G53" i="2" s="1"/>
  <c r="M86" i="8" l="1"/>
  <c r="G86" i="8" s="1"/>
  <c r="G62" i="2" s="1"/>
  <c r="M85" i="8"/>
  <c r="G85" i="8" s="1"/>
  <c r="G61" i="2" s="1"/>
  <c r="I60" i="2"/>
  <c r="J60" i="2" s="1"/>
  <c r="I61" i="2"/>
  <c r="I62" i="2"/>
  <c r="J62" i="2" s="1"/>
  <c r="I63" i="2"/>
  <c r="J63" i="2" s="1"/>
  <c r="I64" i="2"/>
  <c r="J64" i="2" s="1"/>
  <c r="I65" i="2"/>
  <c r="J65" i="2" s="1"/>
  <c r="I59" i="2"/>
  <c r="J59" i="2" s="1"/>
  <c r="I53" i="2"/>
  <c r="J53" i="2" s="1"/>
  <c r="I54" i="2"/>
  <c r="J54" i="2" s="1"/>
  <c r="I55" i="2"/>
  <c r="J55" i="2" s="1"/>
  <c r="I56" i="2"/>
  <c r="J56" i="2" s="1"/>
  <c r="I52" i="2"/>
  <c r="G40" i="2"/>
  <c r="I45" i="2"/>
  <c r="I42" i="2"/>
  <c r="I41" i="2"/>
  <c r="I43" i="2"/>
  <c r="I44" i="2"/>
  <c r="I46" i="2"/>
  <c r="I47" i="2"/>
  <c r="I48" i="2"/>
  <c r="I49" i="2"/>
  <c r="J61" i="2" l="1"/>
  <c r="J58" i="2"/>
  <c r="J52" i="2"/>
  <c r="J51" i="2" s="1"/>
  <c r="E19" i="6" s="1"/>
  <c r="J45" i="2"/>
  <c r="J42" i="2"/>
  <c r="J47" i="2"/>
  <c r="J44" i="2"/>
  <c r="J41" i="2"/>
  <c r="J48" i="2"/>
  <c r="J43" i="2"/>
  <c r="J49" i="2"/>
  <c r="J46" i="2"/>
  <c r="E21" i="6" l="1"/>
  <c r="M39" i="8"/>
  <c r="M38" i="8"/>
  <c r="M37" i="8"/>
  <c r="M36" i="8"/>
  <c r="M33" i="8"/>
  <c r="G39" i="8" l="1"/>
  <c r="G38" i="8"/>
  <c r="G37" i="8"/>
  <c r="G36" i="8"/>
  <c r="G33" i="8"/>
  <c r="G32" i="8" s="1"/>
  <c r="G23" i="2" s="1"/>
  <c r="I22" i="2"/>
  <c r="M30" i="8"/>
  <c r="G30" i="8" s="1"/>
  <c r="M29" i="8"/>
  <c r="G29" i="8" s="1"/>
  <c r="M28" i="8"/>
  <c r="G28" i="8" s="1"/>
  <c r="M27" i="8"/>
  <c r="G27" i="8" s="1"/>
  <c r="M24" i="8"/>
  <c r="G24" i="8" s="1"/>
  <c r="M23" i="8"/>
  <c r="G23" i="8" s="1"/>
  <c r="I23" i="2"/>
  <c r="I24" i="2"/>
  <c r="M42" i="8"/>
  <c r="G35" i="8" l="1"/>
  <c r="G24" i="2" s="1"/>
  <c r="J24" i="2" s="1"/>
  <c r="G22" i="8"/>
  <c r="G21" i="2" s="1"/>
  <c r="G26" i="8"/>
  <c r="G22" i="2" s="1"/>
  <c r="J22" i="2" s="1"/>
  <c r="J23" i="2"/>
  <c r="M53" i="8"/>
  <c r="G53" i="8" s="1"/>
  <c r="G32" i="2" s="1"/>
  <c r="M52" i="8"/>
  <c r="G52" i="8" s="1"/>
  <c r="G31" i="2" s="1"/>
  <c r="M45" i="8"/>
  <c r="G45" i="8" s="1"/>
  <c r="G29" i="2" s="1"/>
  <c r="M44" i="8"/>
  <c r="G44" i="8" s="1"/>
  <c r="M49" i="8" s="1"/>
  <c r="G49" i="8" s="1"/>
  <c r="M43" i="8"/>
  <c r="G43" i="8" s="1"/>
  <c r="G27" i="2" s="1"/>
  <c r="G42" i="8"/>
  <c r="M20" i="8" s="1"/>
  <c r="G20" i="8" s="1"/>
  <c r="M17" i="8"/>
  <c r="G17" i="8" s="1"/>
  <c r="G18" i="2" s="1"/>
  <c r="B111" i="8"/>
  <c r="B112" i="8"/>
  <c r="B110" i="8"/>
  <c r="B106" i="8"/>
  <c r="B10" i="8"/>
  <c r="B9" i="8"/>
  <c r="L22" i="8"/>
  <c r="M50" i="8" l="1"/>
  <c r="G50" i="8" s="1"/>
  <c r="G19" i="8"/>
  <c r="G20" i="2" s="1"/>
  <c r="M47" i="8"/>
  <c r="G47" i="8" s="1"/>
  <c r="M48" i="8"/>
  <c r="G48" i="8" s="1"/>
  <c r="G28" i="2"/>
  <c r="M41" i="8"/>
  <c r="G41" i="8" s="1"/>
  <c r="G25" i="2" s="1"/>
  <c r="G26" i="2"/>
  <c r="M18" i="8"/>
  <c r="G18" i="8" s="1"/>
  <c r="G19" i="2" s="1"/>
  <c r="I32" i="2"/>
  <c r="J32" i="2" s="1"/>
  <c r="I31" i="2"/>
  <c r="J31" i="2" s="1"/>
  <c r="I29" i="2"/>
  <c r="J29" i="2" s="1"/>
  <c r="H16" i="3"/>
  <c r="H17" i="3"/>
  <c r="H18" i="3"/>
  <c r="H19" i="3"/>
  <c r="H20" i="3"/>
  <c r="H21" i="3"/>
  <c r="H15" i="3"/>
  <c r="I30" i="2"/>
  <c r="I28" i="2"/>
  <c r="L21" i="2"/>
  <c r="L22" i="2" s="1"/>
  <c r="I21" i="2"/>
  <c r="J21" i="2" s="1"/>
  <c r="G46" i="8" l="1"/>
  <c r="J28" i="2"/>
  <c r="H14" i="3"/>
  <c r="H18" i="2" l="1"/>
  <c r="I18" i="2" s="1"/>
  <c r="J18" i="2" s="1"/>
  <c r="I40" i="2"/>
  <c r="J40" i="2" s="1"/>
  <c r="J39" i="2" s="1"/>
  <c r="E17" i="6" s="1"/>
  <c r="G30" i="2"/>
  <c r="J30" i="2" s="1"/>
  <c r="B50" i="3"/>
  <c r="H43" i="4"/>
  <c r="I19" i="6" l="1"/>
  <c r="K17" i="6"/>
  <c r="C12" i="6"/>
  <c r="A12" i="6"/>
  <c r="D10" i="6"/>
  <c r="A10" i="6"/>
  <c r="K33" i="6"/>
  <c r="J33" i="6"/>
  <c r="I33" i="6"/>
  <c r="H33" i="6"/>
  <c r="G33" i="6"/>
  <c r="F33" i="6"/>
  <c r="M32" i="6"/>
  <c r="K31" i="6"/>
  <c r="J31" i="6"/>
  <c r="I31" i="6"/>
  <c r="H31" i="6"/>
  <c r="G31" i="6"/>
  <c r="F31" i="6"/>
  <c r="M30" i="6"/>
  <c r="K29" i="6"/>
  <c r="J29" i="6"/>
  <c r="I29" i="6"/>
  <c r="H29" i="6"/>
  <c r="G29" i="6"/>
  <c r="F29" i="6"/>
  <c r="M28" i="6"/>
  <c r="K27" i="6"/>
  <c r="J27" i="6"/>
  <c r="I27" i="6"/>
  <c r="H27" i="6"/>
  <c r="G27" i="6"/>
  <c r="F27" i="6"/>
  <c r="M26" i="6"/>
  <c r="K25" i="6"/>
  <c r="J25" i="6"/>
  <c r="I25" i="6"/>
  <c r="H25" i="6"/>
  <c r="G25" i="6"/>
  <c r="F25" i="6"/>
  <c r="M24" i="6"/>
  <c r="K23" i="6"/>
  <c r="J23" i="6"/>
  <c r="I23" i="6"/>
  <c r="H23" i="6"/>
  <c r="G23" i="6"/>
  <c r="F23" i="6"/>
  <c r="M22" i="6"/>
  <c r="K21" i="6"/>
  <c r="J21" i="6"/>
  <c r="I21" i="6"/>
  <c r="H21" i="6"/>
  <c r="G21" i="6"/>
  <c r="F21" i="6"/>
  <c r="M20" i="6"/>
  <c r="J19" i="6"/>
  <c r="M18" i="6"/>
  <c r="M16" i="6"/>
  <c r="M14" i="6"/>
  <c r="M12" i="6"/>
  <c r="B12" i="4"/>
  <c r="B11" i="4"/>
  <c r="F37" i="4"/>
  <c r="M29" i="6" l="1"/>
  <c r="M21" i="6"/>
  <c r="J17" i="6"/>
  <c r="B10" i="3"/>
  <c r="B11" i="3"/>
  <c r="F19" i="6"/>
  <c r="M23" i="6"/>
  <c r="M27" i="6"/>
  <c r="M31" i="6"/>
  <c r="M25" i="6"/>
  <c r="M33" i="6"/>
  <c r="G19" i="6"/>
  <c r="K19" i="6"/>
  <c r="H19" i="6"/>
  <c r="G17" i="6"/>
  <c r="H17" i="6"/>
  <c r="I17" i="6"/>
  <c r="F17" i="6"/>
  <c r="I19" i="2"/>
  <c r="J19" i="2" s="1"/>
  <c r="I20" i="2"/>
  <c r="J20" i="2" s="1"/>
  <c r="I25" i="2"/>
  <c r="J25" i="2" s="1"/>
  <c r="I26" i="2"/>
  <c r="J26" i="2" s="1"/>
  <c r="I27" i="2"/>
  <c r="J27" i="2" s="1"/>
  <c r="J17" i="2" l="1"/>
  <c r="J15" i="2" s="1"/>
  <c r="M19" i="6"/>
  <c r="M17" i="6"/>
  <c r="E15" i="6" l="1"/>
  <c r="E35" i="6" s="1"/>
  <c r="E12" i="6" s="1"/>
  <c r="J13" i="6"/>
  <c r="H13" i="6"/>
  <c r="K13" i="6"/>
  <c r="G13" i="6"/>
  <c r="I13" i="6"/>
  <c r="F13" i="6"/>
  <c r="K15" i="6" l="1"/>
  <c r="K35" i="6" s="1"/>
  <c r="K34" i="6" s="1"/>
  <c r="H15" i="6"/>
  <c r="H35" i="6" s="1"/>
  <c r="H34" i="6" s="1"/>
  <c r="J15" i="6"/>
  <c r="J35" i="6" s="1"/>
  <c r="J34" i="6" s="1"/>
  <c r="I15" i="6"/>
  <c r="I35" i="6" s="1"/>
  <c r="I34" i="6" s="1"/>
  <c r="G15" i="6"/>
  <c r="G35" i="6" s="1"/>
  <c r="G34" i="6" s="1"/>
  <c r="F15" i="6"/>
  <c r="M13" i="6"/>
  <c r="F9" i="6"/>
  <c r="E32" i="6"/>
  <c r="E16" i="6"/>
  <c r="E20" i="6"/>
  <c r="E30" i="6"/>
  <c r="E18" i="6"/>
  <c r="E22" i="6"/>
  <c r="E24" i="6"/>
  <c r="E14" i="6"/>
  <c r="E26" i="6"/>
  <c r="E28" i="6"/>
  <c r="M15" i="6" l="1"/>
  <c r="F35" i="6"/>
  <c r="F34" i="6" s="1"/>
  <c r="M34" i="6" s="1"/>
  <c r="E34" i="6"/>
  <c r="M35" i="6" l="1"/>
</calcChain>
</file>

<file path=xl/sharedStrings.xml><?xml version="1.0" encoding="utf-8"?>
<sst xmlns="http://schemas.openxmlformats.org/spreadsheetml/2006/main" count="739" uniqueCount="335">
  <si>
    <t>Conforme legislação tributária municipal, definir estimativa de percentual da base de cálculo para o ISS:</t>
  </si>
  <si>
    <t>Sobre a base de cálculo, definir a respectiva alíquota do ISS (entre 2% e 5%):</t>
  </si>
  <si>
    <t>TIPO DE OBRA</t>
  </si>
  <si>
    <t>Construção de Praças Urbanas, Rodovias, Ferrovias e recapeamento e pavimentação de vias urbanas</t>
  </si>
  <si>
    <t>Itens</t>
  </si>
  <si>
    <t>Siglas</t>
  </si>
  <si>
    <t>% Adotado</t>
  </si>
  <si>
    <t>Tributos (impostos COFINS 3%, e  PIS 0,65%)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</si>
  <si>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</si>
  <si>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</si>
  <si>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</si>
  <si>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</si>
  <si>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</si>
  <si>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</si>
  <si>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</si>
  <si>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</si>
  <si>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 xml:space="preserve"> - 1</t>
  </si>
  <si>
    <t>(1-CP-ISS-CRPB)</t>
  </si>
  <si>
    <t>Observações:</t>
  </si>
  <si>
    <t>Local</t>
  </si>
  <si>
    <t>Data</t>
  </si>
  <si>
    <t>Nome:</t>
  </si>
  <si>
    <t>ART/RRT:</t>
  </si>
  <si>
    <t>composição</t>
  </si>
  <si>
    <t>SINAPI</t>
  </si>
  <si>
    <t>SINAPI-I</t>
  </si>
  <si>
    <t>88316</t>
  </si>
  <si>
    <t>M</t>
  </si>
  <si>
    <t>PLACA DE OBRA EM CHAPA DE ACO GALVANIZADO</t>
  </si>
  <si>
    <t>M2</t>
  </si>
  <si>
    <t>4417</t>
  </si>
  <si>
    <t>4491</t>
  </si>
  <si>
    <t>4813</t>
  </si>
  <si>
    <t>5075</t>
  </si>
  <si>
    <t>88262</t>
  </si>
  <si>
    <t>94962</t>
  </si>
  <si>
    <t>SERVICOS TOPOGRAFICOS PARA  LOCAÇÃO DE REDES COLETORAS DE ÁGUAS PLUVIAIS E SANITÁRIAS</t>
  </si>
  <si>
    <t>4509</t>
  </si>
  <si>
    <t>101616</t>
  </si>
  <si>
    <t>93382</t>
  </si>
  <si>
    <t>90105</t>
  </si>
  <si>
    <t>M3</t>
  </si>
  <si>
    <t xml:space="preserve">M2    </t>
  </si>
  <si>
    <t xml:space="preserve">M     </t>
  </si>
  <si>
    <t>H</t>
  </si>
  <si>
    <t>SERVENTE COM ENCARGOS COMPLEMENTARES</t>
  </si>
  <si>
    <t xml:space="preserve">KG    </t>
  </si>
  <si>
    <t xml:space="preserve">SARRAFO NAO APARELHADO *2,5 X 7* CM, EM MACARANDUBA, ANGELIM OU EQUIVALENTE DA REGIAO - 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</si>
  <si>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PONTALETE *7,5 X 7,5*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</si>
  <si>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OBRA (PARA CONSTRUCAO CIVIL) EM CHAPA GALVANIZADA *N. 22*, ADESIVADA, DE *2,4 X 1,2* M (SEM POSTES PARA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</si>
  <si>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</si>
  <si>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CARPINTEIRO DE FORMAS COM ENCARGOS COMPLEMENTARES</t>
  </si>
  <si>
    <t>CONCRETO MAGRO PARA LASTRO, TRAÇO 1:4,5:4,5 (EM MASSA SECA DE CIMENTO/ AREIA MÉDIA/ BRITA 1) - PREPARO MECÂNICO COM BETONEIRA 400 L. AF_05/2021</t>
  </si>
  <si>
    <t>PREPARO DE FUNDO DE VALA COM LARGURA MENOR QUE 1,5 M (ACERTO DO SOLO NATURAL). AF_08/2020</t>
  </si>
  <si>
    <t>REATERRO MANUAL DE VALAS COM COMPACTAÇÃO MECANIZADA. AF_04/2016</t>
  </si>
  <si>
    <t>ESCAVAÇÃO MECANIZADA DE VALA COM PROFUNDIDADE ATÉ 1,5 M (MÉDIA MONTANTE E JUSANTE/UMA COMPOSIÇÃO POR TRECHO), RETROESCAV. (0,26 M3), LARGURA MENOR QUE 0,8 M, EM SOLO DE 1A CATEGORIA, LOCAIS COM BAIXO NÍVEL DE INTERFERÊNCIA. AF_02/2021</t>
  </si>
  <si>
    <t>Item</t>
  </si>
  <si>
    <t>Fonte</t>
  </si>
  <si>
    <t>Código</t>
  </si>
  <si>
    <t>Descrição</t>
  </si>
  <si>
    <t>Unidade</t>
  </si>
  <si>
    <t>Quantidade</t>
  </si>
  <si>
    <t>Preço Unitário (com BDI) (R$)</t>
  </si>
  <si>
    <t>Preço Total
(R$)</t>
  </si>
  <si>
    <t>Composição</t>
  </si>
  <si>
    <t>95567</t>
  </si>
  <si>
    <t>95569</t>
  </si>
  <si>
    <t>Custo Unitário (sem BDI) (R$)</t>
  </si>
  <si>
    <t>TUBO DE CONCRETO (SIMPLES) PARA REDES COLETORAS DE ÁGUAS PLUVIAIS, DIÂMETRO DE 300 MM, JUNTA RÍGIDA, INSTALADO EM LOCAL COM BAIXO NÍVEL DE INTERFERÊNCIAS - FORNECIMENTO E ASSENTAMENTO. AF_12/2015</t>
  </si>
  <si>
    <t>TUBO DE CONCRETO (SIMPLES) PARA REDES COLETORAS DE ÁGUAS PLUVIAIS, DIÂMETRO DE 500 MM, JUNTA RÍGIDA, INSTALADO EM LOCAL COM BAIXO NÍVEL DE INTERFERÊNCIAS - FORNECIMENTO E ASSENTAMENTO. AF_12/2015</t>
  </si>
  <si>
    <t>1.1</t>
  </si>
  <si>
    <t>TOTAL</t>
  </si>
  <si>
    <t>ANEXO I - PLANILHA ORÇAMENTÁRIA</t>
  </si>
  <si>
    <t>ANEXO II - COMPOSIÇÃO DO BDI</t>
  </si>
  <si>
    <t>ANEXO III - COMPOSIÇÕES ABERTAS</t>
  </si>
  <si>
    <t>Administração Central</t>
  </si>
  <si>
    <t>Seguro e Garantia</t>
  </si>
  <si>
    <t>Risco</t>
  </si>
  <si>
    <t>Despesas Financeiras</t>
  </si>
  <si>
    <t>Lucro</t>
  </si>
  <si>
    <t>AC</t>
  </si>
  <si>
    <t>SG</t>
  </si>
  <si>
    <t>R</t>
  </si>
  <si>
    <t>DF</t>
  </si>
  <si>
    <t>L</t>
  </si>
  <si>
    <t>CRONOGRAMA FÍSICO-FINANCEIRO</t>
  </si>
  <si>
    <t>ITEM</t>
  </si>
  <si>
    <t>CÓDIGO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</si>
  <si>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</si>
  <si>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</si>
  <si>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</si>
  <si>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</si>
  <si>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</si>
  <si>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</si>
  <si>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</si>
  <si>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</si>
  <si>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</si>
  <si>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</si>
  <si>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</si>
  <si>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 xml:space="preserve"> </t>
  </si>
  <si>
    <t xml:space="preserve">VALOR DO INVESTIMENTO: </t>
  </si>
  <si>
    <t>CONTRATANTE: MUNICÍPIO DE IBERTIOGA-MG</t>
  </si>
  <si>
    <t>UNID.</t>
  </si>
  <si>
    <t>TUBO DE CONCRETO (SIMPLES) PARA REDES COLETORAS DE ÁGUAS PLUVIAIS, DIÂMETRO DE 800 MM, JUNTA RÍGIDA, INSTALADO EM LOCAL COM BAIXO NÍVEL DE INTERFERÊNCIAS - FORNECIMENTO E ASSENTAMENTO. AF_12/2015</t>
  </si>
  <si>
    <t>LOCAL: AV. BIAS FORTES, CENTRO, IBERTIOGA-MG</t>
  </si>
  <si>
    <t>TUBO DE CONCRETO (SIMPLES) PARA REDES COLETORAS DE ÁGUAS PLUVIAIS, DIÂMETRO DE 600 MM, JUNTA RÍGIDA, INSTALADO EM LOCAL COM BAIXO NÍVEL DE INTERFERÊNCIAS - FORNECIMENTO E ASSENTAMENTO. AF_12/2015</t>
  </si>
  <si>
    <t>A N E X O    I V</t>
  </si>
  <si>
    <t>DRENAGEM PLUVIAL SUBTERRÂNEA</t>
  </si>
  <si>
    <t>INFRAESTRUTURA EM VIA URBANA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</si>
  <si>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</si>
  <si>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</si>
  <si>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</si>
  <si>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</si>
  <si>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</si>
  <si>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</si>
  <si>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</si>
  <si>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</si>
  <si>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</si>
  <si>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</si>
  <si>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</si>
  <si>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</si>
  <si>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SETOP</t>
  </si>
  <si>
    <t>REFERÊNCIAS: SINAPI MG - OUTUBRO/2022; E SETOP LESTE - OUTUBRO/2022 - AMBAS SEM DESONERAÇÃO</t>
  </si>
  <si>
    <t>ED-48695</t>
  </si>
  <si>
    <t>VALA DE INFILTRAÇÃO E DRENAGEM 80 X 240 X 80 CM, INCLUSIVE ESCAVAÇÃO E BOTA FORA</t>
  </si>
  <si>
    <t>ED-48539</t>
  </si>
  <si>
    <t>ALA DE REDE TUBULAR DN 800, EXCLUSIVE BOTA FORA</t>
  </si>
  <si>
    <t>ANEXO IV - MEMÓRIA DE CÁLCULO</t>
  </si>
  <si>
    <t>Memória de Cálculo</t>
  </si>
  <si>
    <t>=1,50*3,00</t>
  </si>
  <si>
    <t>=44+46+7+8,5+45+7+46,5+4+4+48,5+57+5+28</t>
  </si>
  <si>
    <t>=69+45+69</t>
  </si>
  <si>
    <t>=48</t>
  </si>
  <si>
    <t>=1</t>
  </si>
  <si>
    <t>=6+2+6+2+6+2+5+5+2+5+5+8,0+2+5+5+7+2+7+8+2+6+6+2+8+2+9+9+6+6+2+3+5</t>
  </si>
  <si>
    <t>1.1.13</t>
  </si>
  <si>
    <t>1.1.14</t>
  </si>
  <si>
    <t>ESCORAMENTO DE VALA, TIPO PONTALETEAMENTO, COM PROFUNDIDADE DE 0 A 1,5M, LARGURA MENOR QUE 1,5 M. AF_08/2020</t>
  </si>
  <si>
    <t>TUBO Ø300MM</t>
  </si>
  <si>
    <t>TUBO Ø500MM</t>
  </si>
  <si>
    <t>=(46,5+4)*1,00*((1,40+1,50/2))</t>
  </si>
  <si>
    <t>TUBO Ø600MM</t>
  </si>
  <si>
    <t>=69*1,20*((1,50+1,58/2))</t>
  </si>
  <si>
    <t>=45*1,20*((1,58+1,80/2))</t>
  </si>
  <si>
    <t>=69*1,20*((1,80+1,40/2))</t>
  </si>
  <si>
    <t>TUBO Ø800MM</t>
  </si>
  <si>
    <t>=48*1,60*((1,80+1,40/2))</t>
  </si>
  <si>
    <t>ESCAVAÇÃO MECANIZADA DE VALA COM PROFUNDIDADE ATÉ 1,5 M (MÉDIA MONTANTE E JUSANTE/UMA COMPOSIÇÃO POR TRECHO), RETROESCAV. (0,26 M3), LARGURA DE 0,8 M A 1,5 M, EM SOLO DE 1A CATEGORIA, LOCAIS COM BAIXO NÍVEL DENTERFERÊNCIA. AF_02/2021</t>
  </si>
  <si>
    <t>ESCAVAÇÃO MECANIZADA DE VALA COM PROFUNDIDADE MAIOR QUE 1,5 M ATÉ 3,0M (MÉDIA MONTANTE E JUSANTE/UMA COMPOSIÇÃO POR TRECHO), RETROESCAV (0,26 M3), LARGURA DE 0,8 M A 1,5 M, EM SOLO DE 1A CATEGORIA, LOCAIS COM BAIXO NÍVEL DE INTERFERÊNCIA. AF_02/2021</t>
  </si>
  <si>
    <t>1.1.15</t>
  </si>
  <si>
    <t>ESCORAMENTO DE VALA, TIPO PONTALETEAMENTO, COM PROFUNDIDADE DE 1,5 A 3,0 M, LARGURA MENOR QUE 1,5 M. AF_08/2020</t>
  </si>
  <si>
    <t>=(44+46+7+8,5+45+7+4+48,5+57+5+28)*1*1,4</t>
  </si>
  <si>
    <t>=(46,5+4)*2*1</t>
  </si>
  <si>
    <t>=69*2*1</t>
  </si>
  <si>
    <t>=45*2*1</t>
  </si>
  <si>
    <t>=48*2*1</t>
  </si>
  <si>
    <t>=ITEM 1.1.9 + 1.1.10 + 1.1.11 + 1.1.12</t>
  </si>
  <si>
    <t>=ITEM 1.1.9 *0,60*((1,00+1,40)/2)</t>
  </si>
  <si>
    <t>=ITEM (1.1.9*0,60) + (1.1.10*1,00) + (1.1.11*1,20) + (1.1.12*1,60)</t>
  </si>
  <si>
    <t>=ITEM 1.1.3 - (ITEM 1.1.9 * 3,14 * 0,15^2)</t>
  </si>
  <si>
    <t>=(420+108,58)-(ITEM  1.1.10 * 3,14 * 0,25^2)</t>
  </si>
  <si>
    <t>=(189,61+133,92+207)-(ITEM 1.1.11 * 3,14 * 0,30^2)</t>
  </si>
  <si>
    <t>=(96,00)-(ITEM 1.1.12 * 3,14 * 0,40^2)</t>
  </si>
  <si>
    <t>OBJETO: EXECUÇÃO DE OBRAS DE INFRAESTRUTURA EM VIA URBANA</t>
  </si>
  <si>
    <t>REDE  SANITÁRIA</t>
  </si>
  <si>
    <t>90695</t>
  </si>
  <si>
    <t>TUBO DE PVC PARA REDE COLETORA DE ESGOTO DE PAREDE MACIÇA, DN 150 MM, JUNTA ELÁSTICA  - FORNECIMENTO E ASSENTAMENTO. AF_01/2021</t>
  </si>
  <si>
    <t>90696</t>
  </si>
  <si>
    <t>TUBO DE PVC PARA REDE COLETORA DE ESGOTO DE PAREDE MACIÇA, DN 200 MM, JUNTA ELÁSTICA - FORNECIMENTO E ASSENTAMENTO. AF_01/2021</t>
  </si>
  <si>
    <t>97974</t>
  </si>
  <si>
    <t>POÇO DE INSPEÇÃO CIRCULAR PARA ESGOTO, EM CONCRETO PRÉ-MOLDADO, DIÂMETRO INTERNO = 0,60 M, PROFUNDIDADE = 0,90 M, EXCLUINDO TAMPÃO. AF_12/2020</t>
  </si>
  <si>
    <t>UN</t>
  </si>
  <si>
    <t>98050</t>
  </si>
  <si>
    <t>CHAMINÉ CIRCULAR PARA POÇO DE VISITA PARA ESGOTO, EM CONCRETO PRÉ-MOLDADO, DIÂMETRO INTERNO = 0,6 M. AF_12/2020</t>
  </si>
  <si>
    <t>98114</t>
  </si>
  <si>
    <t>TAMPA CIRCULAR PARA ESGOTO E DRENAGEM, EM FERRO FUNDIDO, DIÂMETRO INTERNO = 0,6 M. AF_12/2020</t>
  </si>
  <si>
    <t>UND</t>
  </si>
  <si>
    <t>LIGAÇÃO DE ESGOTO, DA TESTADA TERRENO/EDIFICAÇÃO ATÉ A REDE 150MM  (DISTÂNCIA MÉDIA = 6 M, LARGURA DA VALA = 0,40 M), INCLUINDO ESCAVAÇÃO, REATERRO E COMPATAÇAO, TUBO PVC P/ REDE COLETORA ESGOTO JEI DN 100 MM E CONEXÕES.</t>
  </si>
  <si>
    <t>TERRAPLENAGEM</t>
  </si>
  <si>
    <t>SERVICOS TOPOGRAFICOS PARA PAVIMENTACAO, INCLUSIVE NOTA DE SERVICOS, ACOMPANHAMENTO E GREIDE</t>
  </si>
  <si>
    <t>100575</t>
  </si>
  <si>
    <t>REGULARIZAÇÃO DE SUPERFÍCIES COM MOTONIVELADORA. AF_11/2019</t>
  </si>
  <si>
    <t>101127</t>
  </si>
  <si>
    <t>ESCAVAÇÃO HORIZONTAL, INCLUINDO CARGA E DESCARGA EM SOLO DE 1A CATEGORIA COM TRATOR DE ESTEIRAS (347HP/LÂMINA: 8,70M3). AF_07/2020</t>
  </si>
  <si>
    <t>95877</t>
  </si>
  <si>
    <t>TRANSPORTE COM CAMINHÃO BASCULANTE DE 18 M³, EM VIA URBANA PAVIMENTADA, DMT ATÉ 30 KM (UNIDADE: M3XKM). AF_07/2020</t>
  </si>
  <si>
    <t>M3XKM</t>
  </si>
  <si>
    <t>96388</t>
  </si>
  <si>
    <t>EXECUÇÃO E COMPACTAÇÃO DE BASE E OU SUB BASE PARA PAVIMENTAÇÃO DE SOLOS DE COMPORTAMENTO LATERÍTICO (ARENOSO) - EXCLUSIVE SOLO, ESCAVAÇÃO, CARGA E TRANSPORTE. AF_11/2019</t>
  </si>
  <si>
    <t>PAVIMENTAÇÃO EM CBUQ</t>
  </si>
  <si>
    <t>102330</t>
  </si>
  <si>
    <t>TRANSPORTE COM CAMINHÃO TANQUE DE TRANSPORTE DE MATERIAL ASFÁLTICO DE 30000 L, EM VIA URBANA PAVIMENTADA, DMT ATÉ 30KM (UNIDADE: TXKM). AF_07/2020</t>
  </si>
  <si>
    <t>TXKM</t>
  </si>
  <si>
    <t>102331</t>
  </si>
  <si>
    <t>TRANSPORTE COM CAMINHÃO TANQUE DE TRANSPORTE DE MATERIAL ASFÁLTICO DE 30000 L, EM VIA URBANA PAVIMENTADA, ADICIONAL PARA DMT EXCEDENTE A 30 KM (UNIDADE: TXKM). AF_07/2020</t>
  </si>
  <si>
    <t>95427</t>
  </si>
  <si>
    <t>TRANSPORTE COM CAMINHÃO BASCULANTE DE 18 M³, EM VIA URBANA PAVIMENTADA, ADICIONAL PARA DMT EXCEDENTE A 30 KM (UNIDADE: M3XKM). AF_07/2020</t>
  </si>
  <si>
    <t>95995</t>
  </si>
  <si>
    <t>EXECUÇÃO DE PAVIMENTO COM APLICAÇÃO DE CONCRETO ASFÁLTICO, CAMADA DE ROLAMENTO - EXCLUSIVE CARGA E TRANSPORTE. AF_11/2019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</si>
  <si>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</si>
  <si>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</si>
  <si>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</si>
  <si>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</si>
  <si>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</si>
  <si>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</si>
  <si>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</si>
  <si>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</si>
  <si>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</si>
  <si>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</si>
  <si>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</si>
  <si>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1.3</t>
  </si>
  <si>
    <t>1.3.1</t>
  </si>
  <si>
    <t>1.3.2</t>
  </si>
  <si>
    <t>1.3.3</t>
  </si>
  <si>
    <t>1.3.4</t>
  </si>
  <si>
    <t>1.3.5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</si>
  <si>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</si>
  <si>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</si>
  <si>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</si>
  <si>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</si>
  <si>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</si>
  <si>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</si>
  <si>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</si>
  <si>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</si>
  <si>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97628</t>
  </si>
  <si>
    <t>93358</t>
  </si>
  <si>
    <t>94273</t>
  </si>
  <si>
    <t>88309</t>
  </si>
  <si>
    <t>SARJETA DE CONCRETO  COM FCK 20 MPA, LARGURA DE 50 CM COM INCLINAÇÃO DE 3%, ESP. 10CM,  INCLUSIVE ESCAVAÇÃO, APILAOMENTO E TRANSPORTE COM RETIRADA DO MATERIAL ESCAVADO</t>
  </si>
  <si>
    <t>34492</t>
  </si>
  <si>
    <t>UND.</t>
  </si>
  <si>
    <t>94991</t>
  </si>
  <si>
    <t>1970</t>
  </si>
  <si>
    <t>20078</t>
  </si>
  <si>
    <t>36365</t>
  </si>
  <si>
    <t>42699</t>
  </si>
  <si>
    <t>93378</t>
  </si>
  <si>
    <t>88246</t>
  </si>
  <si>
    <t>DEMOLIÇÃO DE LAJES, DE FORMA MANUAL, SEM REAPROVEITAMENTO. AF_12/2017</t>
  </si>
  <si>
    <t>ESCAVAÇÃO MANUAL DE VALA COM PROFUNDIDADE MENOR OU IGUAL A 1,30 M. AF_02/2021</t>
  </si>
  <si>
    <t>ASSENTAMENTO DE GUIA (MEIO-FIO) EM TRECHO RETO, CONFECCIONADA EM CONCRETO PRÉ-FABRICADO, DIMENSÕES 100X15X13X30 CM (COMPRIMENTO X BASE INFERIOR X BASE SUPERIOR X ALTURA), PARA VIAS URBANAS (USO VIÁRIO). AF_06/2016</t>
  </si>
  <si>
    <t>PEDREIRO COM ENCARGOS COMPLEMENTARES</t>
  </si>
  <si>
    <t xml:space="preserve">M3    </t>
  </si>
  <si>
    <t>SARRAFO *2,5 X 10* CM EM PINUS, MISTA OU EQUIVALENTE DA REGIAO - BRUTA</t>
  </si>
  <si>
    <t xml:space="preserve">UN    </t>
  </si>
  <si>
    <t>CONCRETO USINADO BOMBEAVEL, CLASSE DE RESISTENCIA C20, COM BRITA 0 E 1, SLUMP = 100 +/- 20 MM, EXCLUI SERVICO DE BOMBEAMENTO (NBR 8953)</t>
  </si>
  <si>
    <t>EXECUÇÃO DE PASSEIO (CALÇADA) OU PISO DE CONCRETO COM CONCRETO MOLDADO IN LOCO, USINADO, ACABAMENTO CONVENCIONAL, NÃO ARMADO. AF_08/2022</t>
  </si>
  <si>
    <t>CURVA PVC LONGA 90 GRAUS, 100 MM, PARA ESGOTO PREDIAL</t>
  </si>
  <si>
    <t>PASTA LUBRIFICANTE PARA TUBOS E CONEXOES COM JUNTA ELASTICA, EMBALAGEM DE *400* GR (USO EM PVC, ACO, POLIETILENO E OUTROS)</t>
  </si>
  <si>
    <t>TUBO COLETOR DE ESGOTO PVC, JEI, DN 100 MM (NBR  7362)</t>
  </si>
  <si>
    <t>SELIM PVC, COM TRAVA, JE, 90 GRAUS,  DN 125 X 100 MM OU 150 X 100 MM, PARA REDE COLETORA ESGOTO (NBR 10569)</t>
  </si>
  <si>
    <t>REATERRO MECANIZADO DE VALA COM RETROESCAVADEIRA (CAPACIDADE DA CAÇAMBA DA RETRO: 0,26 M³ / POTÊNCIA: 88 HP), LARGURA ATÉ 0,8 M, PROFUNDIDADE ATÉ 1,5 M, COM SOLO DE 1ª CATEGORIA EM LOCAIS COM BAIXO NÍVEL DE INTERFERÊNCIA. AF_04/2016</t>
  </si>
  <si>
    <t>ASSENTADOR DE TUBOS COM ENCARGOS COMPLEMENTARES</t>
  </si>
  <si>
    <t>IBERTIOGA-MG</t>
  </si>
  <si>
    <t>4</t>
  </si>
  <si>
    <t>RO-51228</t>
  </si>
  <si>
    <t>IMPRIMAÇÃO (EXECUÇÃO, FORNECIMENTO DO MATERIAL BETUMINOSO, EXCLUSIVE TRANSPORTE DO MATERIAL BETUMINOSO)</t>
  </si>
  <si>
    <t>RO-51229</t>
  </si>
  <si>
    <t>PINTURA DE LIGAÇÃO (EXECUÇÃO E FORNECIMENTO DO MATERIAL BETUMINOSO, INCLUSIVE TRANSPORTE O MATERIAL BETUMINOSO)</t>
  </si>
  <si>
    <t>=ITEM 1.3.1</t>
  </si>
  <si>
    <t>=ITEM 1.3.2 *0,15</t>
  </si>
  <si>
    <t>=ITEM 1.3.3 *8,10</t>
  </si>
  <si>
    <t>=ITEM 1.3.3</t>
  </si>
  <si>
    <t>=ITEM 1.2.6 + 1.2.7</t>
  </si>
  <si>
    <t>=56,51+56,67</t>
  </si>
  <si>
    <t>=54,81</t>
  </si>
  <si>
    <t>=(((G60+G61)*0,4))</t>
  </si>
  <si>
    <t>=ITEM 1.2.2-((ITEM 1.2.4*3,14*0,075^2)+(ITEM 1.2.5*3,14*0,1^2))</t>
  </si>
  <si>
    <t>=4,00</t>
  </si>
  <si>
    <t>=9,00</t>
  </si>
  <si>
    <t>=0,12+0,41+0,80</t>
  </si>
  <si>
    <t>=863,45</t>
  </si>
  <si>
    <t>=ITEM 1.4.5</t>
  </si>
  <si>
    <t>=ITEM 1.4.6 *0,05</t>
  </si>
  <si>
    <t>=((ITEM 1.4.5*0,012)+(ITEM 1.4.6*0,0005))*30</t>
  </si>
  <si>
    <t>=((ITEM 1.4.5*0,012)+(ITEM 1.4.6*0,0005))*(221-30)</t>
  </si>
  <si>
    <t>=ITEM 1.4.7 * 30,00</t>
  </si>
  <si>
    <t>=ITEM 1.4.7 * (53,00-30,00)</t>
  </si>
  <si>
    <t>PRAZO DE EXECUÇÃO: 04 (QUATRO) MESES</t>
  </si>
  <si>
    <t>TUBO Ø150MM</t>
  </si>
  <si>
    <t>TUBO Ø200MM</t>
  </si>
  <si>
    <t>=0,40*((((1,02+0,90)/2)*56,51)+(((1,31+1,02)/2)*56,53))</t>
  </si>
  <si>
    <t>=0,40*(((1,70+1,31)/2)*52,81)</t>
  </si>
  <si>
    <t>1.1.16</t>
  </si>
  <si>
    <t>1.1.17</t>
  </si>
  <si>
    <t>1.1.18</t>
  </si>
  <si>
    <t>1.1.19</t>
  </si>
  <si>
    <t>ACRÉSCIMO PARA POÇO DE VISITA RETANGULAR PARA DRENAGEM, EM ALVENARIA COM BLOCOS DE CONCRETO, DIMENSÕES INTERNAS = 1X1 M. AF_12/2020</t>
  </si>
  <si>
    <t>BASE PARA POÇO DE VISITA RETANGULAR PARA DRENAGEM, EM ALVENARIA COM BLOCOS DE CONCRETO, DIMENSÕES INTERNAS = 1X1 M, PROFUNDIDADE = 1,40 M, EXCLUINDO TAMPÃO. AF_12/2020_PA</t>
  </si>
  <si>
    <t>CAIXA COM GRELHA SIMPLES RETANGULAR, EM ALVENARIA COM TIJOLOS CERÂMICOS MACIÇOS, DIMENSÕES INTERNAS: 0,5X1X1 M. AF_12/2020</t>
  </si>
  <si>
    <t>=0,40+0,18+0,10+0,10</t>
  </si>
  <si>
    <t>LOCAÇÃO DE REDE DE ÁGUA OU ESGOTO. AF_10/2018</t>
  </si>
  <si>
    <t>LOCAÇÃO DE PAVIMENTAÇÃO. AF_10/2018</t>
  </si>
  <si>
    <t>2</t>
  </si>
  <si>
    <t>=10,00+7,00</t>
  </si>
  <si>
    <t>=18,00+12,00</t>
  </si>
  <si>
    <t>1.5</t>
  </si>
  <si>
    <t>3</t>
  </si>
  <si>
    <t>COMPOSIÇÃO</t>
  </si>
  <si>
    <t>1.5.1</t>
  </si>
  <si>
    <t>DRENAGEM PLUVIAL SUPERFICIAL</t>
  </si>
  <si>
    <t>=12,71+47,35+4,85+13+10+19,8+1,16+1,42+3,27+4,05+1,3+11,9</t>
  </si>
  <si>
    <t>1.5.2</t>
  </si>
  <si>
    <t>=11,9+1,3+4,05</t>
  </si>
  <si>
    <t>SARJETA DE CONCRETO  COM FCK 20 MPA, LARGURA DE 50 CM COM INCLINAÇÃO DE 3%, ESP. 10CM,  INCLUSIVE ESCAVAÇÃO MANUAL E APILOAMENTO</t>
  </si>
  <si>
    <t>SICRO</t>
  </si>
  <si>
    <t>5213403</t>
  </si>
  <si>
    <t>Pintura de faixa com tinta acrílica emulsionada em água - espessura de 0,5 mm</t>
  </si>
  <si>
    <t>5213464</t>
  </si>
  <si>
    <t>Placa de advertência em aço, lado de 0,60 m - película retrorrefletiva tipo I + SI - fornecimento e implantação</t>
  </si>
  <si>
    <t>un</t>
  </si>
  <si>
    <t>5213863</t>
  </si>
  <si>
    <t>Suporte metálico galvanizado para placa de advertência ou regulamentação - lado ou diâmetro de 0,60 m - fornecimento e implantação</t>
  </si>
  <si>
    <t>ADMINISTRAÇÃO LOCAL</t>
  </si>
  <si>
    <t>93572</t>
  </si>
  <si>
    <t>ENCARREGADO GERAL DE OBRAS COM ENCARGOS COMPLEMENTARES</t>
  </si>
  <si>
    <t>1.6</t>
  </si>
  <si>
    <t>1.7</t>
  </si>
  <si>
    <t>1.6.1</t>
  </si>
  <si>
    <t>1.6.2</t>
  </si>
  <si>
    <t>1.6.3</t>
  </si>
  <si>
    <t>1.7.1</t>
  </si>
  <si>
    <t>MÊS</t>
  </si>
  <si>
    <t>SINALIZAÇÃO VERTICAL E HORIZONTAL</t>
  </si>
  <si>
    <t>=(LINHA DIVISÓRIA=0,1*(11,9+20,8+14,1)) + (FAIXA DE RETENÇÃO=0,3*3,4*3) + (FAIXA DE PEDESTRES=((6,9*4)/2)*2)</t>
  </si>
  <si>
    <t>VER LEVANTAMENTO EM PROJETO</t>
  </si>
  <si>
    <t>CONSIDERANDO 2,24H/DIA =&gt;11,20H/SEM (5 DIAS/SEMANA) =&gt; 56,00H/MÊS (5 SEMANAS/MÊS) =&gt; 220,00H/MÊS = ((56,00/220,00)*4 MÊSES)</t>
  </si>
  <si>
    <t>=64,93+5,00</t>
  </si>
  <si>
    <t>DATA: 27/03/2023</t>
  </si>
  <si>
    <t>TIMBRADO LICITANTE</t>
  </si>
  <si>
    <t>DATA:</t>
  </si>
  <si>
    <t>XXXXXXXXXXXXXXXXX</t>
  </si>
  <si>
    <t>NOME DA EMPRESA LICITANTE</t>
  </si>
  <si>
    <t>REPRESENTANTE LEGAL</t>
  </si>
  <si>
    <t>Representante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</si>
</sst>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&quot;R$ &quot;* #,##0.00_);_(&quot;R$ &quot;* \(#,##0.00\);_(&quot;R$ &quot;* \-??_);_(@_)"/>
    <numFmt numFmtId="165" formatCode="General;General"/>
    <numFmt numFmtId="166" formatCode="[$-F800]dddd\,\ mmmm\ dd\,\ yyyy"/>
    <numFmt numFmtId="167" formatCode="dd&quot; de &quot;mmmm&quot; de &quot;yyyy"/>
    <numFmt numFmtId="168" formatCode="&quot;R$ &quot;#,##0.00"/>
    <numFmt numFmtId="169" formatCode="_-* #,##0.00000_-;\-* #,##0.00000_-;_-* &quot;-&quot;??_-;_-@_-"/>
    <numFmt numFmtId="170" formatCode="_(* #,##0.00_);_(* \(#,##0.00\);_(* \-??_);_(@_)"/>
  </numFmts>
  <fonts count="27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2"/>
      <name val="Calibri"/>
      <family val="2"/>
      <scheme val="minor"/>
    </font>
    <font>
      <i/>
      <u/>
      <sz val="12"/>
      <name val="Calibri"/>
      <family val="2"/>
      <scheme val="minor"/>
    </font>
    <font>
      <u/>
      <sz val="10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sz val="10"/>
      <color rgb="FF00000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26"/>
      <color theme="1"/>
      <name val="Calibri"/>
      <family val="2"/>
      <scheme val="minor"/>
    </font>
    <font>
      <b/>
      <sz val="26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indexed="22"/>
        <bgColor indexed="44"/>
      </patternFill>
    </fill>
    <fill>
      <patternFill patternType="solid">
        <fgColor theme="0"/>
        <bgColor indexed="42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2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7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4" fillId="0" borderId="0"/>
    <xf numFmtId="164" fontId="2" fillId="0" borderId="0" applyFill="0" applyBorder="0" applyAlignment="0" applyProtection="0"/>
    <xf numFmtId="0" fontId="3" fillId="0" borderId="0"/>
  </cellStyleXfs>
  <cellXfs count="321">
    <xf numFmtId="0" fontId="0" fillId="0" borderId="0" xfId="0"/>
    <xf numFmtId="0" fontId="1" fillId="0" borderId="0" xfId="0" applyFont="1" applyProtection="1">
      <protection hidden="1"/>
    </xf>
    <xf numFmtId="43" fontId="1" fillId="0" borderId="0" xfId="2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3" fontId="1" fillId="0" borderId="0" xfId="0" applyNumberFormat="1" applyFont="1" applyProtection="1">
      <protection hidden="1"/>
    </xf>
    <xf numFmtId="43" fontId="1" fillId="0" borderId="0" xfId="2" applyFont="1" applyAlignment="1" applyProtection="1">
      <alignment horizontal="center"/>
      <protection hidden="1"/>
    </xf>
    <xf numFmtId="0" fontId="0" fillId="0" borderId="0" xfId="1" applyFont="1" applyProtection="1"/>
    <xf numFmtId="0" fontId="0" fillId="0" borderId="0" xfId="1" applyFont="1" applyBorder="1" applyAlignment="1" applyProtection="1">
      <alignment horizontal="center" vertical="top"/>
    </xf>
    <xf numFmtId="167" fontId="0" fillId="0" borderId="0" xfId="1" applyNumberFormat="1" applyFont="1" applyAlignment="1" applyProtection="1"/>
    <xf numFmtId="0" fontId="0" fillId="0" borderId="3" xfId="1" applyFont="1" applyBorder="1" applyProtection="1"/>
    <xf numFmtId="0" fontId="0" fillId="0" borderId="0" xfId="1" applyFont="1" applyBorder="1" applyProtection="1"/>
    <xf numFmtId="0" fontId="0" fillId="0" borderId="0" xfId="1" applyNumberFormat="1" applyFont="1" applyFill="1" applyBorder="1" applyAlignment="1" applyProtection="1">
      <alignment vertical="top"/>
    </xf>
    <xf numFmtId="165" fontId="0" fillId="0" borderId="0" xfId="1" applyNumberFormat="1" applyFont="1" applyFill="1" applyBorder="1" applyAlignment="1" applyProtection="1"/>
    <xf numFmtId="165" fontId="0" fillId="0" borderId="0" xfId="1" applyNumberFormat="1" applyFont="1" applyFill="1" applyBorder="1" applyAlignment="1" applyProtection="1">
      <alignment vertical="top"/>
    </xf>
    <xf numFmtId="0" fontId="0" fillId="0" borderId="0" xfId="0" applyAlignment="1">
      <alignment vertical="justify"/>
    </xf>
    <xf numFmtId="0" fontId="0" fillId="0" borderId="0" xfId="0" applyAlignment="1">
      <alignment horizontal="center" vertical="center"/>
    </xf>
    <xf numFmtId="43" fontId="0" fillId="0" borderId="0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0" fillId="0" borderId="4" xfId="0" applyBorder="1" applyAlignment="1">
      <alignment horizontal="center" vertical="center"/>
    </xf>
    <xf numFmtId="43" fontId="0" fillId="0" borderId="4" xfId="2" applyFont="1" applyBorder="1" applyAlignment="1">
      <alignment horizontal="center" vertical="center"/>
    </xf>
    <xf numFmtId="0" fontId="0" fillId="0" borderId="4" xfId="0" applyBorder="1" applyAlignment="1">
      <alignment horizontal="center" vertical="justify"/>
    </xf>
    <xf numFmtId="43" fontId="0" fillId="0" borderId="4" xfId="2" applyFont="1" applyBorder="1" applyAlignment="1">
      <alignment horizontal="center" vertical="justify"/>
    </xf>
    <xf numFmtId="0" fontId="0" fillId="0" borderId="4" xfId="0" applyBorder="1" applyAlignment="1">
      <alignment vertical="justify"/>
    </xf>
    <xf numFmtId="0" fontId="7" fillId="0" borderId="0" xfId="1" applyFont="1" applyProtection="1"/>
    <xf numFmtId="0" fontId="1" fillId="0" borderId="0" xfId="1" applyFont="1" applyFill="1" applyBorder="1" applyAlignment="1" applyProtection="1">
      <alignment horizontal="left"/>
    </xf>
    <xf numFmtId="0" fontId="11" fillId="0" borderId="1" xfId="1" applyFont="1" applyBorder="1" applyAlignment="1" applyProtection="1">
      <alignment horizontal="center" vertical="center"/>
    </xf>
    <xf numFmtId="10" fontId="11" fillId="2" borderId="1" xfId="1" applyNumberFormat="1" applyFont="1" applyFill="1" applyBorder="1" applyAlignment="1" applyProtection="1">
      <alignment horizontal="center" vertical="center"/>
      <protection locked="0"/>
    </xf>
    <xf numFmtId="10" fontId="11" fillId="0" borderId="1" xfId="1" applyNumberFormat="1" applyFont="1" applyFill="1" applyBorder="1" applyAlignment="1" applyProtection="1">
      <alignment horizontal="center" vertical="center"/>
    </xf>
    <xf numFmtId="0" fontId="11" fillId="4" borderId="1" xfId="1" applyFont="1" applyFill="1" applyBorder="1" applyAlignment="1" applyProtection="1">
      <alignment horizontal="center" vertical="center" wrapText="1"/>
    </xf>
    <xf numFmtId="10" fontId="10" fillId="4" borderId="1" xfId="1" applyNumberFormat="1" applyFont="1" applyFill="1" applyBorder="1" applyAlignment="1" applyProtection="1">
      <alignment horizontal="center" vertical="center"/>
    </xf>
    <xf numFmtId="0" fontId="14" fillId="0" borderId="0" xfId="1" applyFont="1" applyBorder="1" applyAlignment="1" applyProtection="1">
      <alignment horizontal="center" vertical="top"/>
    </xf>
    <xf numFmtId="0" fontId="7" fillId="0" borderId="3" xfId="1" applyFont="1" applyBorder="1" applyAlignment="1" applyProtection="1">
      <alignment horizontal="left"/>
    </xf>
    <xf numFmtId="0" fontId="11" fillId="0" borderId="0" xfId="1" applyFont="1" applyBorder="1" applyProtection="1"/>
    <xf numFmtId="0" fontId="7" fillId="0" borderId="0" xfId="3" applyFont="1" applyBorder="1" applyAlignment="1" applyProtection="1">
      <alignment horizontal="left" vertical="top"/>
    </xf>
    <xf numFmtId="0" fontId="11" fillId="0" borderId="0" xfId="1" applyFont="1" applyProtection="1"/>
    <xf numFmtId="0" fontId="11" fillId="0" borderId="0" xfId="0" applyFont="1" applyAlignment="1" applyProtection="1">
      <alignment horizontal="center"/>
      <protection hidden="1"/>
    </xf>
    <xf numFmtId="0" fontId="10" fillId="0" borderId="0" xfId="1" applyFont="1" applyAlignment="1" applyProtection="1">
      <alignment horizontal="center"/>
    </xf>
    <xf numFmtId="0" fontId="11" fillId="0" borderId="0" xfId="0" applyFont="1" applyProtection="1">
      <protection hidden="1"/>
    </xf>
    <xf numFmtId="164" fontId="1" fillId="5" borderId="0" xfId="4" applyFont="1" applyFill="1" applyBorder="1" applyAlignment="1" applyProtection="1">
      <alignment horizontal="left"/>
      <protection locked="0"/>
    </xf>
    <xf numFmtId="0" fontId="5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vertical="justify"/>
    </xf>
    <xf numFmtId="43" fontId="5" fillId="6" borderId="4" xfId="2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justify"/>
    </xf>
    <xf numFmtId="43" fontId="3" fillId="0" borderId="0" xfId="2" applyFont="1" applyAlignment="1">
      <alignment horizontal="center" vertical="center"/>
    </xf>
    <xf numFmtId="10" fontId="3" fillId="0" borderId="0" xfId="2" applyNumberFormat="1" applyFont="1" applyAlignment="1">
      <alignment horizontal="center" vertical="center"/>
    </xf>
    <xf numFmtId="0" fontId="11" fillId="0" borderId="0" xfId="1" applyFont="1" applyAlignment="1" applyProtection="1">
      <alignment horizontal="left"/>
    </xf>
    <xf numFmtId="0" fontId="11" fillId="0" borderId="0" xfId="1" applyFont="1" applyAlignment="1" applyProtection="1">
      <alignment horizontal="center"/>
    </xf>
    <xf numFmtId="0" fontId="15" fillId="0" borderId="9" xfId="0" applyFont="1" applyBorder="1"/>
    <xf numFmtId="0" fontId="15" fillId="0" borderId="10" xfId="0" applyFont="1" applyBorder="1"/>
    <xf numFmtId="43" fontId="16" fillId="0" borderId="10" xfId="2" applyFont="1" applyBorder="1"/>
    <xf numFmtId="0" fontId="15" fillId="0" borderId="11" xfId="0" applyFont="1" applyBorder="1"/>
    <xf numFmtId="0" fontId="15" fillId="0" borderId="0" xfId="0" applyFont="1"/>
    <xf numFmtId="0" fontId="7" fillId="7" borderId="14" xfId="0" applyFont="1" applyFill="1" applyBorder="1"/>
    <xf numFmtId="0" fontId="7" fillId="7" borderId="15" xfId="0" applyFont="1" applyFill="1" applyBorder="1"/>
    <xf numFmtId="0" fontId="7" fillId="7" borderId="15" xfId="0" applyFont="1" applyFill="1" applyBorder="1" applyAlignment="1">
      <alignment wrapText="1"/>
    </xf>
    <xf numFmtId="0" fontId="7" fillId="7" borderId="16" xfId="0" applyFont="1" applyFill="1" applyBorder="1"/>
    <xf numFmtId="0" fontId="15" fillId="7" borderId="0" xfId="0" applyFont="1" applyFill="1"/>
    <xf numFmtId="0" fontId="15" fillId="7" borderId="0" xfId="0" applyFont="1" applyFill="1" applyAlignment="1"/>
    <xf numFmtId="0" fontId="15" fillId="7" borderId="0" xfId="0" applyFont="1" applyFill="1" applyAlignment="1">
      <alignment wrapText="1"/>
    </xf>
    <xf numFmtId="0" fontId="15" fillId="7" borderId="12" xfId="0" applyFont="1" applyFill="1" applyBorder="1"/>
    <xf numFmtId="0" fontId="15" fillId="7" borderId="0" xfId="0" applyFont="1" applyFill="1" applyBorder="1"/>
    <xf numFmtId="0" fontId="15" fillId="7" borderId="0" xfId="0" applyFont="1" applyFill="1" applyBorder="1" applyAlignment="1">
      <alignment wrapText="1"/>
    </xf>
    <xf numFmtId="0" fontId="15" fillId="7" borderId="13" xfId="0" applyFont="1" applyFill="1" applyBorder="1"/>
    <xf numFmtId="0" fontId="7" fillId="7" borderId="30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 wrapText="1"/>
    </xf>
    <xf numFmtId="0" fontId="7" fillId="7" borderId="32" xfId="0" applyFont="1" applyFill="1" applyBorder="1" applyAlignment="1">
      <alignment horizontal="center" vertical="center"/>
    </xf>
    <xf numFmtId="49" fontId="17" fillId="7" borderId="35" xfId="0" applyNumberFormat="1" applyFont="1" applyFill="1" applyBorder="1" applyAlignment="1">
      <alignment horizontal="center" vertical="top" wrapText="1"/>
    </xf>
    <xf numFmtId="10" fontId="17" fillId="7" borderId="35" xfId="0" applyNumberFormat="1" applyFont="1" applyFill="1" applyBorder="1" applyAlignment="1">
      <alignment vertical="top" wrapText="1"/>
    </xf>
    <xf numFmtId="10" fontId="17" fillId="7" borderId="36" xfId="0" applyNumberFormat="1" applyFont="1" applyFill="1" applyBorder="1" applyAlignment="1">
      <alignment vertical="top" wrapText="1"/>
    </xf>
    <xf numFmtId="10" fontId="15" fillId="7" borderId="0" xfId="0" applyNumberFormat="1" applyFont="1" applyFill="1"/>
    <xf numFmtId="49" fontId="17" fillId="7" borderId="38" xfId="0" applyNumberFormat="1" applyFont="1" applyFill="1" applyBorder="1" applyAlignment="1">
      <alignment horizontal="center" vertical="top" wrapText="1"/>
    </xf>
    <xf numFmtId="4" fontId="17" fillId="7" borderId="38" xfId="0" applyNumberFormat="1" applyFont="1" applyFill="1" applyBorder="1" applyAlignment="1">
      <alignment vertical="top" wrapText="1"/>
    </xf>
    <xf numFmtId="168" fontId="1" fillId="7" borderId="38" xfId="0" applyNumberFormat="1" applyFont="1" applyFill="1" applyBorder="1" applyAlignment="1">
      <alignment vertical="top" wrapText="1"/>
    </xf>
    <xf numFmtId="168" fontId="1" fillId="7" borderId="39" xfId="0" applyNumberFormat="1" applyFont="1" applyFill="1" applyBorder="1" applyAlignment="1">
      <alignment vertical="top" wrapText="1"/>
    </xf>
    <xf numFmtId="49" fontId="18" fillId="7" borderId="45" xfId="0" applyNumberFormat="1" applyFont="1" applyFill="1" applyBorder="1" applyAlignment="1">
      <alignment horizontal="center" vertical="top" wrapText="1"/>
    </xf>
    <xf numFmtId="10" fontId="17" fillId="7" borderId="45" xfId="0" applyNumberFormat="1" applyFont="1" applyFill="1" applyBorder="1" applyAlignment="1">
      <alignment vertical="top" wrapText="1"/>
    </xf>
    <xf numFmtId="10" fontId="17" fillId="7" borderId="46" xfId="0" applyNumberFormat="1" applyFont="1" applyFill="1" applyBorder="1" applyAlignment="1">
      <alignment vertical="top" wrapText="1"/>
    </xf>
    <xf numFmtId="49" fontId="18" fillId="7" borderId="48" xfId="0" applyNumberFormat="1" applyFont="1" applyFill="1" applyBorder="1" applyAlignment="1">
      <alignment horizontal="center" vertical="top" wrapText="1"/>
    </xf>
    <xf numFmtId="168" fontId="17" fillId="7" borderId="48" xfId="0" applyNumberFormat="1" applyFont="1" applyFill="1" applyBorder="1" applyAlignment="1">
      <alignment vertical="top" wrapText="1"/>
    </xf>
    <xf numFmtId="168" fontId="17" fillId="7" borderId="49" xfId="0" applyNumberFormat="1" applyFont="1" applyFill="1" applyBorder="1" applyAlignment="1">
      <alignment vertical="top" wrapText="1"/>
    </xf>
    <xf numFmtId="0" fontId="15" fillId="7" borderId="12" xfId="0" applyFont="1" applyFill="1" applyBorder="1" applyAlignment="1">
      <alignment vertical="center"/>
    </xf>
    <xf numFmtId="0" fontId="15" fillId="7" borderId="0" xfId="0" applyFont="1" applyFill="1" applyBorder="1" applyAlignment="1">
      <alignment vertical="center"/>
    </xf>
    <xf numFmtId="0" fontId="15" fillId="7" borderId="0" xfId="0" applyFont="1" applyFill="1" applyBorder="1" applyAlignment="1">
      <alignment vertical="center" wrapText="1"/>
    </xf>
    <xf numFmtId="0" fontId="15" fillId="7" borderId="13" xfId="0" applyFont="1" applyFill="1" applyBorder="1" applyAlignment="1">
      <alignment vertical="center"/>
    </xf>
    <xf numFmtId="0" fontId="7" fillId="7" borderId="9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50" xfId="0" applyFont="1" applyFill="1" applyBorder="1" applyAlignment="1">
      <alignment wrapText="1"/>
    </xf>
    <xf numFmtId="0" fontId="15" fillId="7" borderId="51" xfId="0" applyFont="1" applyFill="1" applyBorder="1"/>
    <xf numFmtId="0" fontId="15" fillId="7" borderId="10" xfId="0" applyFont="1" applyFill="1" applyBorder="1"/>
    <xf numFmtId="0" fontId="15" fillId="7" borderId="11" xfId="0" applyFont="1" applyFill="1" applyBorder="1"/>
    <xf numFmtId="0" fontId="7" fillId="7" borderId="12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7" borderId="52" xfId="0" applyFont="1" applyFill="1" applyBorder="1" applyAlignment="1">
      <alignment wrapText="1"/>
    </xf>
    <xf numFmtId="0" fontId="15" fillId="7" borderId="53" xfId="0" applyFont="1" applyFill="1" applyBorder="1"/>
    <xf numFmtId="0" fontId="7" fillId="7" borderId="53" xfId="0" applyFont="1" applyFill="1" applyBorder="1"/>
    <xf numFmtId="0" fontId="7" fillId="7" borderId="12" xfId="0" applyFont="1" applyFill="1" applyBorder="1"/>
    <xf numFmtId="0" fontId="15" fillId="7" borderId="52" xfId="0" applyFont="1" applyFill="1" applyBorder="1"/>
    <xf numFmtId="0" fontId="15" fillId="7" borderId="15" xfId="0" applyFont="1" applyFill="1" applyBorder="1"/>
    <xf numFmtId="0" fontId="15" fillId="7" borderId="47" xfId="0" applyFont="1" applyFill="1" applyBorder="1"/>
    <xf numFmtId="0" fontId="15" fillId="7" borderId="54" xfId="0" applyFont="1" applyFill="1" applyBorder="1"/>
    <xf numFmtId="0" fontId="15" fillId="7" borderId="16" xfId="0" applyFont="1" applyFill="1" applyBorder="1"/>
    <xf numFmtId="0" fontId="7" fillId="7" borderId="23" xfId="0" applyFont="1" applyFill="1" applyBorder="1" applyAlignment="1">
      <alignment vertical="center"/>
    </xf>
    <xf numFmtId="0" fontId="7" fillId="7" borderId="21" xfId="0" applyFont="1" applyFill="1" applyBorder="1" applyAlignment="1">
      <alignment vertical="center"/>
    </xf>
    <xf numFmtId="0" fontId="7" fillId="7" borderId="22" xfId="0" applyFont="1" applyFill="1" applyBorder="1" applyAlignment="1">
      <alignment vertical="center"/>
    </xf>
    <xf numFmtId="168" fontId="7" fillId="7" borderId="21" xfId="0" applyNumberFormat="1" applyFont="1" applyFill="1" applyBorder="1" applyAlignment="1">
      <alignment vertical="center"/>
    </xf>
    <xf numFmtId="0" fontId="15" fillId="7" borderId="14" xfId="0" applyFont="1" applyFill="1" applyBorder="1"/>
    <xf numFmtId="0" fontId="15" fillId="7" borderId="15" xfId="0" applyFont="1" applyFill="1" applyBorder="1" applyAlignment="1">
      <alignment wrapText="1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vertical="justify" wrapText="1"/>
    </xf>
    <xf numFmtId="43" fontId="0" fillId="0" borderId="0" xfId="0" applyNumberFormat="1" applyAlignment="1">
      <alignment vertical="center"/>
    </xf>
    <xf numFmtId="169" fontId="0" fillId="0" borderId="4" xfId="2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justify"/>
    </xf>
    <xf numFmtId="43" fontId="11" fillId="0" borderId="4" xfId="2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5" fillId="8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vertical="justify"/>
    </xf>
    <xf numFmtId="43" fontId="5" fillId="8" borderId="4" xfId="2" applyFont="1" applyFill="1" applyBorder="1" applyAlignment="1">
      <alignment horizontal="center" vertical="center"/>
    </xf>
    <xf numFmtId="43" fontId="0" fillId="8" borderId="4" xfId="2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vertical="justify"/>
    </xf>
    <xf numFmtId="43" fontId="5" fillId="9" borderId="4" xfId="2" applyFont="1" applyFill="1" applyBorder="1" applyAlignment="1">
      <alignment horizontal="center" vertical="center"/>
    </xf>
    <xf numFmtId="43" fontId="0" fillId="9" borderId="4" xfId="2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49" fontId="0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0" fillId="1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10" borderId="4" xfId="0" applyNumberFormat="1" applyFont="1" applyFill="1" applyBorder="1" applyAlignment="1" applyProtection="1">
      <alignment horizontal="center" vertical="center" wrapText="1"/>
      <protection locked="0"/>
    </xf>
    <xf numFmtId="170" fontId="0" fillId="8" borderId="4" xfId="2" applyNumberFormat="1" applyFont="1" applyFill="1" applyBorder="1" applyAlignment="1" applyProtection="1">
      <alignment vertical="center" shrinkToFit="1"/>
    </xf>
    <xf numFmtId="43" fontId="0" fillId="10" borderId="4" xfId="2" applyFont="1" applyFill="1" applyBorder="1" applyAlignment="1" applyProtection="1">
      <alignment vertical="center" wrapText="1"/>
      <protection locked="0"/>
    </xf>
    <xf numFmtId="0" fontId="0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0" fillId="8" borderId="4" xfId="0" applyFill="1" applyBorder="1"/>
    <xf numFmtId="0" fontId="5" fillId="11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vertical="justify"/>
    </xf>
    <xf numFmtId="43" fontId="5" fillId="11" borderId="4" xfId="2" applyFont="1" applyFill="1" applyBorder="1" applyAlignment="1">
      <alignment horizontal="center" vertical="center"/>
    </xf>
    <xf numFmtId="43" fontId="0" fillId="11" borderId="4" xfId="2" applyFont="1" applyFill="1" applyBorder="1" applyAlignment="1">
      <alignment horizontal="center" vertical="center"/>
    </xf>
    <xf numFmtId="0" fontId="0" fillId="8" borderId="4" xfId="0" applyNumberFormat="1" applyFont="1" applyFill="1" applyBorder="1" applyAlignment="1">
      <alignment horizontal="center" vertical="center" wrapText="1" shrinkToFit="1"/>
    </xf>
    <xf numFmtId="0" fontId="5" fillId="11" borderId="4" xfId="0" applyNumberFormat="1" applyFont="1" applyFill="1" applyBorder="1" applyAlignment="1">
      <alignment horizontal="center" vertical="center" wrapText="1" shrinkToFit="1"/>
    </xf>
    <xf numFmtId="49" fontId="5" fillId="12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13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13" borderId="4" xfId="0" applyNumberFormat="1" applyFont="1" applyFill="1" applyBorder="1" applyAlignment="1" applyProtection="1">
      <alignment horizontal="left" vertical="center" wrapText="1"/>
      <protection locked="0"/>
    </xf>
    <xf numFmtId="0" fontId="5" fillId="13" borderId="4" xfId="0" applyNumberFormat="1" applyFont="1" applyFill="1" applyBorder="1" applyAlignment="1" applyProtection="1">
      <alignment horizontal="center" vertical="center" wrapText="1"/>
      <protection locked="0"/>
    </xf>
    <xf numFmtId="170" fontId="5" fillId="11" borderId="4" xfId="2" applyNumberFormat="1" applyFont="1" applyFill="1" applyBorder="1" applyAlignment="1" applyProtection="1">
      <alignment vertical="center" shrinkToFit="1"/>
    </xf>
    <xf numFmtId="43" fontId="5" fillId="13" borderId="4" xfId="2" applyFont="1" applyFill="1" applyBorder="1" applyAlignment="1" applyProtection="1">
      <alignment vertical="center" wrapText="1"/>
      <protection locked="0"/>
    </xf>
    <xf numFmtId="170" fontId="5" fillId="11" borderId="4" xfId="2" applyNumberFormat="1" applyFont="1" applyFill="1" applyBorder="1" applyAlignment="1" applyProtection="1">
      <alignment horizontal="center" vertical="center" shrinkToFit="1"/>
    </xf>
    <xf numFmtId="0" fontId="20" fillId="0" borderId="0" xfId="0" applyFont="1"/>
    <xf numFmtId="0" fontId="20" fillId="0" borderId="0" xfId="0" applyFont="1" applyAlignment="1">
      <alignment horizontal="center"/>
    </xf>
    <xf numFmtId="43" fontId="0" fillId="11" borderId="55" xfId="2" applyFont="1" applyFill="1" applyBorder="1" applyAlignment="1">
      <alignment horizontal="center" vertical="center"/>
    </xf>
    <xf numFmtId="43" fontId="0" fillId="11" borderId="56" xfId="2" applyFont="1" applyFill="1" applyBorder="1" applyAlignment="1">
      <alignment horizontal="center" vertical="center"/>
    </xf>
    <xf numFmtId="43" fontId="0" fillId="11" borderId="57" xfId="2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wrapText="1"/>
    </xf>
    <xf numFmtId="43" fontId="0" fillId="0" borderId="55" xfId="2" quotePrefix="1" applyFont="1" applyBorder="1" applyAlignment="1">
      <alignment horizontal="center" vertical="center"/>
    </xf>
    <xf numFmtId="43" fontId="0" fillId="0" borderId="56" xfId="2" applyFont="1" applyBorder="1" applyAlignment="1">
      <alignment horizontal="center" vertical="center"/>
    </xf>
    <xf numFmtId="43" fontId="0" fillId="0" borderId="57" xfId="2" applyFont="1" applyBorder="1" applyAlignment="1">
      <alignment horizontal="center" vertical="center"/>
    </xf>
    <xf numFmtId="43" fontId="0" fillId="0" borderId="56" xfId="2" quotePrefix="1" applyFont="1" applyBorder="1" applyAlignment="1">
      <alignment horizontal="center" vertical="center"/>
    </xf>
    <xf numFmtId="43" fontId="0" fillId="0" borderId="57" xfId="2" quotePrefix="1" applyFont="1" applyBorder="1" applyAlignment="1">
      <alignment horizontal="center" vertical="center"/>
    </xf>
    <xf numFmtId="0" fontId="23" fillId="0" borderId="0" xfId="0" applyFont="1"/>
    <xf numFmtId="49" fontId="23" fillId="8" borderId="4" xfId="0" applyNumberFormat="1" applyFont="1" applyFill="1" applyBorder="1" applyAlignment="1" applyProtection="1">
      <alignment horizontal="center" wrapText="1"/>
      <protection locked="0"/>
    </xf>
    <xf numFmtId="0" fontId="23" fillId="8" borderId="4" xfId="0" applyFont="1" applyFill="1" applyBorder="1" applyAlignment="1">
      <alignment horizontal="left" wrapText="1"/>
    </xf>
    <xf numFmtId="0" fontId="23" fillId="8" borderId="4" xfId="0" applyFont="1" applyFill="1" applyBorder="1" applyAlignment="1">
      <alignment horizontal="center" wrapText="1"/>
    </xf>
    <xf numFmtId="0" fontId="23" fillId="8" borderId="4" xfId="0" applyFont="1" applyFill="1" applyBorder="1" applyAlignment="1" applyProtection="1">
      <alignment horizontal="center" wrapText="1"/>
      <protection locked="0"/>
    </xf>
    <xf numFmtId="4" fontId="23" fillId="8" borderId="4" xfId="0" applyNumberFormat="1" applyFont="1" applyFill="1" applyBorder="1" applyAlignment="1">
      <alignment horizontal="center" wrapText="1"/>
    </xf>
    <xf numFmtId="49" fontId="23" fillId="8" borderId="0" xfId="0" applyNumberFormat="1" applyFont="1" applyFill="1" applyBorder="1" applyAlignment="1" applyProtection="1">
      <alignment horizontal="center" wrapText="1"/>
      <protection locked="0"/>
    </xf>
    <xf numFmtId="0" fontId="23" fillId="8" borderId="0" xfId="0" applyFont="1" applyFill="1" applyBorder="1" applyAlignment="1">
      <alignment horizontal="left" wrapText="1"/>
    </xf>
    <xf numFmtId="0" fontId="23" fillId="8" borderId="0" xfId="0" applyFont="1" applyFill="1" applyBorder="1" applyAlignment="1">
      <alignment horizontal="center" wrapText="1"/>
    </xf>
    <xf numFmtId="0" fontId="23" fillId="8" borderId="0" xfId="0" applyFont="1" applyFill="1" applyBorder="1" applyAlignment="1" applyProtection="1">
      <alignment horizontal="center" wrapText="1"/>
      <protection locked="0"/>
    </xf>
    <xf numFmtId="4" fontId="23" fillId="8" borderId="0" xfId="0" applyNumberFormat="1" applyFont="1" applyFill="1" applyBorder="1" applyAlignment="1">
      <alignment horizontal="center" wrapText="1"/>
    </xf>
    <xf numFmtId="49" fontId="22" fillId="14" borderId="4" xfId="0" applyNumberFormat="1" applyFont="1" applyFill="1" applyBorder="1" applyAlignment="1" applyProtection="1">
      <alignment horizontal="center" vertical="center" wrapText="1"/>
      <protection locked="0"/>
    </xf>
    <xf numFmtId="49" fontId="22" fillId="14" borderId="4" xfId="0" applyNumberFormat="1" applyFont="1" applyFill="1" applyBorder="1" applyAlignment="1" applyProtection="1">
      <alignment wrapText="1"/>
      <protection locked="0"/>
    </xf>
    <xf numFmtId="0" fontId="5" fillId="14" borderId="4" xfId="0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vertical="justify"/>
    </xf>
    <xf numFmtId="43" fontId="5" fillId="14" borderId="4" xfId="0" applyNumberFormat="1" applyFont="1" applyFill="1" applyBorder="1" applyAlignment="1">
      <alignment horizontal="center" vertical="center"/>
    </xf>
    <xf numFmtId="0" fontId="22" fillId="14" borderId="4" xfId="0" applyFont="1" applyFill="1" applyBorder="1" applyAlignment="1">
      <alignment vertical="center"/>
    </xf>
    <xf numFmtId="4" fontId="22" fillId="14" borderId="4" xfId="0" applyNumberFormat="1" applyFont="1" applyFill="1" applyBorder="1" applyAlignment="1">
      <alignment horizontal="center" vertical="center"/>
    </xf>
    <xf numFmtId="49" fontId="23" fillId="8" borderId="4" xfId="0" applyNumberFormat="1" applyFont="1" applyFill="1" applyBorder="1" applyAlignment="1" applyProtection="1">
      <alignment horizontal="center" vertical="center" wrapText="1"/>
      <protection locked="0"/>
    </xf>
    <xf numFmtId="0" fontId="23" fillId="8" borderId="4" xfId="0" applyFont="1" applyFill="1" applyBorder="1" applyAlignment="1" applyProtection="1">
      <alignment horizontal="center" vertical="center" wrapText="1"/>
      <protection locked="0"/>
    </xf>
    <xf numFmtId="4" fontId="23" fillId="8" borderId="4" xfId="0" applyNumberFormat="1" applyFont="1" applyFill="1" applyBorder="1" applyAlignment="1">
      <alignment horizontal="center" vertical="center" wrapText="1"/>
    </xf>
    <xf numFmtId="0" fontId="23" fillId="8" borderId="4" xfId="0" applyFont="1" applyFill="1" applyBorder="1" applyAlignment="1">
      <alignment horizontal="center" vertical="center" wrapText="1"/>
    </xf>
    <xf numFmtId="43" fontId="0" fillId="0" borderId="0" xfId="2" quotePrefix="1" applyFont="1" applyBorder="1" applyAlignment="1">
      <alignment horizontal="center" vertical="center"/>
    </xf>
    <xf numFmtId="43" fontId="0" fillId="0" borderId="0" xfId="2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0" fillId="0" borderId="55" xfId="2" applyFont="1" applyBorder="1" applyAlignment="1">
      <alignment horizontal="center" vertical="center"/>
    </xf>
    <xf numFmtId="43" fontId="0" fillId="0" borderId="56" xfId="2" applyFont="1" applyBorder="1" applyAlignment="1">
      <alignment horizontal="center" vertical="center"/>
    </xf>
    <xf numFmtId="43" fontId="0" fillId="0" borderId="57" xfId="2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0" fillId="0" borderId="0" xfId="0" applyNumberFormat="1"/>
    <xf numFmtId="0" fontId="23" fillId="7" borderId="0" xfId="0" applyFont="1" applyFill="1"/>
    <xf numFmtId="0" fontId="24" fillId="7" borderId="0" xfId="5" applyFont="1" applyFill="1" applyAlignment="1">
      <alignment horizontal="center" vertical="center"/>
    </xf>
    <xf numFmtId="49" fontId="24" fillId="7" borderId="0" xfId="5" applyNumberFormat="1" applyFont="1" applyFill="1" applyAlignment="1">
      <alignment horizontal="center" vertical="center"/>
    </xf>
    <xf numFmtId="0" fontId="24" fillId="7" borderId="0" xfId="5" applyFont="1" applyFill="1" applyAlignment="1">
      <alignment vertical="center"/>
    </xf>
    <xf numFmtId="4" fontId="24" fillId="7" borderId="0" xfId="5" applyNumberFormat="1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23" fillId="8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5" fillId="10" borderId="4" xfId="0" applyNumberFormat="1" applyFont="1" applyFill="1" applyBorder="1" applyAlignment="1" applyProtection="1">
      <alignment horizontal="left" vertical="center" wrapText="1"/>
      <protection locked="0"/>
    </xf>
    <xf numFmtId="49" fontId="0" fillId="12" borderId="4" xfId="0" applyNumberFormat="1" applyFont="1" applyFill="1" applyBorder="1" applyAlignment="1" applyProtection="1">
      <alignment horizontal="center" vertical="center" wrapText="1"/>
      <protection locked="0"/>
    </xf>
    <xf numFmtId="49" fontId="0" fillId="1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13" borderId="4" xfId="0" applyNumberFormat="1" applyFont="1" applyFill="1" applyBorder="1" applyAlignment="1" applyProtection="1">
      <alignment horizontal="center" vertical="center" wrapText="1"/>
      <protection locked="0"/>
    </xf>
    <xf numFmtId="170" fontId="0" fillId="11" borderId="4" xfId="2" applyNumberFormat="1" applyFont="1" applyFill="1" applyBorder="1" applyAlignment="1" applyProtection="1">
      <alignment vertical="center" shrinkToFit="1"/>
    </xf>
    <xf numFmtId="43" fontId="0" fillId="13" borderId="4" xfId="2" applyFont="1" applyFill="1" applyBorder="1" applyAlignment="1" applyProtection="1">
      <alignment vertical="center" wrapText="1"/>
      <protection locked="0"/>
    </xf>
    <xf numFmtId="43" fontId="0" fillId="1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7" borderId="0" xfId="0" applyFont="1" applyFill="1"/>
    <xf numFmtId="10" fontId="1" fillId="7" borderId="0" xfId="0" applyNumberFormat="1" applyFont="1" applyFill="1"/>
    <xf numFmtId="168" fontId="1" fillId="7" borderId="0" xfId="0" applyNumberFormat="1" applyFont="1" applyFill="1"/>
    <xf numFmtId="0" fontId="0" fillId="0" borderId="0" xfId="0" applyFont="1" applyBorder="1" applyAlignment="1">
      <alignment horizontal="left" vertical="justify"/>
    </xf>
    <xf numFmtId="0" fontId="6" fillId="0" borderId="0" xfId="0" applyFont="1" applyAlignment="1">
      <alignment horizontal="center" vertical="center"/>
    </xf>
    <xf numFmtId="0" fontId="5" fillId="8" borderId="55" xfId="0" applyFont="1" applyFill="1" applyBorder="1" applyAlignment="1">
      <alignment horizontal="center" vertical="center"/>
    </xf>
    <xf numFmtId="0" fontId="5" fillId="8" borderId="56" xfId="0" applyFont="1" applyFill="1" applyBorder="1" applyAlignment="1">
      <alignment horizontal="center" vertical="center"/>
    </xf>
    <xf numFmtId="0" fontId="5" fillId="8" borderId="57" xfId="0" applyFont="1" applyFill="1" applyBorder="1" applyAlignment="1">
      <alignment horizontal="center" vertical="center"/>
    </xf>
    <xf numFmtId="0" fontId="5" fillId="6" borderId="55" xfId="0" applyFont="1" applyFill="1" applyBorder="1" applyAlignment="1">
      <alignment horizontal="center" vertical="center"/>
    </xf>
    <xf numFmtId="0" fontId="5" fillId="6" borderId="56" xfId="0" applyFont="1" applyFill="1" applyBorder="1" applyAlignment="1">
      <alignment horizontal="center" vertical="center"/>
    </xf>
    <xf numFmtId="0" fontId="5" fillId="6" borderId="57" xfId="0" applyFont="1" applyFill="1" applyBorder="1" applyAlignment="1">
      <alignment horizontal="center" vertical="center"/>
    </xf>
    <xf numFmtId="43" fontId="0" fillId="0" borderId="55" xfId="2" quotePrefix="1" applyFont="1" applyBorder="1" applyAlignment="1">
      <alignment horizontal="center" vertical="center"/>
    </xf>
    <xf numFmtId="43" fontId="0" fillId="0" borderId="56" xfId="2" applyFont="1" applyBorder="1" applyAlignment="1">
      <alignment horizontal="center" vertical="center"/>
    </xf>
    <xf numFmtId="43" fontId="0" fillId="0" borderId="57" xfId="2" applyFont="1" applyBorder="1" applyAlignment="1">
      <alignment horizontal="center" vertical="center"/>
    </xf>
    <xf numFmtId="43" fontId="0" fillId="0" borderId="55" xfId="2" applyFont="1" applyBorder="1" applyAlignment="1">
      <alignment horizontal="center" vertical="center"/>
    </xf>
    <xf numFmtId="0" fontId="5" fillId="9" borderId="55" xfId="0" applyFont="1" applyFill="1" applyBorder="1" applyAlignment="1">
      <alignment horizontal="center" vertical="center"/>
    </xf>
    <xf numFmtId="0" fontId="5" fillId="9" borderId="56" xfId="0" applyFont="1" applyFill="1" applyBorder="1" applyAlignment="1">
      <alignment horizontal="center" vertical="center"/>
    </xf>
    <xf numFmtId="0" fontId="5" fillId="9" borderId="57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43" fontId="0" fillId="0" borderId="55" xfId="2" quotePrefix="1" applyFont="1" applyBorder="1" applyAlignment="1">
      <alignment horizontal="center" vertical="justify"/>
    </xf>
    <xf numFmtId="43" fontId="0" fillId="0" borderId="56" xfId="2" applyFont="1" applyBorder="1" applyAlignment="1">
      <alignment horizontal="center" vertical="justify"/>
    </xf>
    <xf numFmtId="43" fontId="0" fillId="0" borderId="57" xfId="2" applyFont="1" applyBorder="1" applyAlignment="1">
      <alignment horizontal="center" vertical="justify"/>
    </xf>
    <xf numFmtId="43" fontId="0" fillId="0" borderId="55" xfId="2" quotePrefix="1" applyFont="1" applyBorder="1" applyAlignment="1">
      <alignment horizontal="justify" vertical="center"/>
    </xf>
    <xf numFmtId="43" fontId="0" fillId="0" borderId="56" xfId="2" applyFont="1" applyBorder="1" applyAlignment="1">
      <alignment horizontal="justify" vertical="center"/>
    </xf>
    <xf numFmtId="43" fontId="0" fillId="0" borderId="57" xfId="2" applyFont="1" applyBorder="1" applyAlignment="1">
      <alignment horizontal="justify" vertical="center"/>
    </xf>
    <xf numFmtId="43" fontId="0" fillId="0" borderId="56" xfId="2" quotePrefix="1" applyFont="1" applyBorder="1" applyAlignment="1">
      <alignment horizontal="center" vertical="center"/>
    </xf>
    <xf numFmtId="43" fontId="0" fillId="0" borderId="57" xfId="2" quotePrefix="1" applyFont="1" applyBorder="1" applyAlignment="1">
      <alignment horizontal="center" vertical="center"/>
    </xf>
    <xf numFmtId="43" fontId="0" fillId="0" borderId="56" xfId="2" quotePrefix="1" applyFont="1" applyBorder="1" applyAlignment="1">
      <alignment horizontal="center" vertical="justify"/>
    </xf>
    <xf numFmtId="43" fontId="0" fillId="0" borderId="57" xfId="2" quotePrefix="1" applyFont="1" applyBorder="1" applyAlignment="1">
      <alignment horizontal="center" vertical="justify"/>
    </xf>
    <xf numFmtId="43" fontId="0" fillId="11" borderId="55" xfId="2" applyFont="1" applyFill="1" applyBorder="1" applyAlignment="1">
      <alignment horizontal="center" vertical="center"/>
    </xf>
    <xf numFmtId="43" fontId="0" fillId="11" borderId="56" xfId="2" applyFont="1" applyFill="1" applyBorder="1" applyAlignment="1">
      <alignment horizontal="center" vertical="center"/>
    </xf>
    <xf numFmtId="43" fontId="0" fillId="11" borderId="57" xfId="2" applyFont="1" applyFill="1" applyBorder="1" applyAlignment="1">
      <alignment horizontal="center" vertical="center"/>
    </xf>
    <xf numFmtId="43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0" fillId="0" borderId="55" xfId="2" applyFont="1" applyBorder="1" applyAlignment="1">
      <alignment horizontal="center" vertical="justify"/>
    </xf>
    <xf numFmtId="0" fontId="10" fillId="0" borderId="0" xfId="1" applyFont="1" applyBorder="1" applyAlignment="1" applyProtection="1">
      <alignment horizontal="left" vertical="center"/>
    </xf>
    <xf numFmtId="0" fontId="0" fillId="0" borderId="3" xfId="1" applyFont="1" applyBorder="1" applyAlignment="1" applyProtection="1">
      <alignment horizontal="left" vertical="center"/>
    </xf>
    <xf numFmtId="0" fontId="8" fillId="0" borderId="0" xfId="1" applyFont="1" applyAlignment="1" applyProtection="1">
      <alignment horizontal="center"/>
    </xf>
    <xf numFmtId="0" fontId="7" fillId="0" borderId="7" xfId="3" applyFont="1" applyBorder="1" applyAlignment="1" applyProtection="1">
      <alignment horizontal="left" vertical="top"/>
    </xf>
    <xf numFmtId="0" fontId="7" fillId="0" borderId="0" xfId="3" applyFont="1" applyBorder="1" applyAlignment="1" applyProtection="1">
      <alignment horizontal="left" vertical="top"/>
    </xf>
    <xf numFmtId="0" fontId="7" fillId="0" borderId="8" xfId="3" applyFont="1" applyBorder="1" applyAlignment="1" applyProtection="1">
      <alignment horizontal="left" vertical="top"/>
    </xf>
    <xf numFmtId="49" fontId="0" fillId="2" borderId="1" xfId="1" applyNumberFormat="1" applyFont="1" applyFill="1" applyBorder="1" applyAlignment="1" applyProtection="1">
      <alignment horizontal="left" vertical="top" wrapText="1"/>
      <protection locked="0"/>
    </xf>
    <xf numFmtId="165" fontId="0" fillId="0" borderId="2" xfId="1" applyNumberFormat="1" applyFont="1" applyFill="1" applyBorder="1" applyAlignment="1" applyProtection="1">
      <alignment horizontal="left"/>
    </xf>
    <xf numFmtId="166" fontId="0" fillId="0" borderId="2" xfId="1" applyNumberFormat="1" applyFont="1" applyFill="1" applyBorder="1" applyAlignment="1" applyProtection="1">
      <alignment horizontal="left"/>
    </xf>
    <xf numFmtId="0" fontId="7" fillId="0" borderId="0" xfId="1" applyFont="1" applyBorder="1" applyAlignment="1" applyProtection="1">
      <alignment horizontal="left" vertical="center"/>
    </xf>
    <xf numFmtId="0" fontId="11" fillId="4" borderId="1" xfId="1" applyFont="1" applyFill="1" applyBorder="1" applyAlignment="1" applyProtection="1">
      <alignment horizontal="center" vertical="center" wrapText="1"/>
    </xf>
    <xf numFmtId="0" fontId="0" fillId="0" borderId="0" xfId="1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top"/>
    </xf>
    <xf numFmtId="0" fontId="0" fillId="0" borderId="1" xfId="1" applyFont="1" applyBorder="1" applyAlignment="1" applyProtection="1">
      <alignment horizontal="center" vertical="center" wrapText="1"/>
    </xf>
    <xf numFmtId="0" fontId="10" fillId="0" borderId="1" xfId="1" applyFont="1" applyBorder="1" applyAlignment="1" applyProtection="1">
      <alignment horizontal="center" vertical="center"/>
    </xf>
    <xf numFmtId="4" fontId="10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left" wrapText="1"/>
    </xf>
    <xf numFmtId="10" fontId="1" fillId="2" borderId="1" xfId="1" applyNumberFormat="1" applyFont="1" applyFill="1" applyBorder="1" applyAlignment="1" applyProtection="1">
      <alignment horizontal="center"/>
      <protection locked="0"/>
    </xf>
    <xf numFmtId="0" fontId="1" fillId="0" borderId="1" xfId="1" applyFont="1" applyFill="1" applyBorder="1" applyAlignment="1" applyProtection="1">
      <alignment horizontal="left"/>
    </xf>
    <xf numFmtId="164" fontId="1" fillId="3" borderId="5" xfId="4" applyFont="1" applyFill="1" applyBorder="1" applyAlignment="1" applyProtection="1">
      <alignment horizontal="left"/>
      <protection locked="0"/>
    </xf>
    <xf numFmtId="164" fontId="1" fillId="3" borderId="2" xfId="4" applyFont="1" applyFill="1" applyBorder="1" applyAlignment="1" applyProtection="1">
      <alignment horizontal="left"/>
      <protection locked="0"/>
    </xf>
    <xf numFmtId="164" fontId="1" fillId="3" borderId="6" xfId="4" applyFont="1" applyFill="1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19" fillId="0" borderId="15" xfId="0" applyFont="1" applyBorder="1" applyAlignment="1">
      <alignment horizontal="center" vertical="center"/>
    </xf>
    <xf numFmtId="0" fontId="7" fillId="7" borderId="42" xfId="0" applyFont="1" applyFill="1" applyBorder="1" applyAlignment="1">
      <alignment horizontal="center" vertical="center" wrapText="1"/>
    </xf>
    <xf numFmtId="0" fontId="7" fillId="7" borderId="43" xfId="0" applyFont="1" applyFill="1" applyBorder="1" applyAlignment="1">
      <alignment horizontal="center" vertical="center" wrapText="1"/>
    </xf>
    <xf numFmtId="0" fontId="7" fillId="7" borderId="44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7" fillId="7" borderId="4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7" borderId="0" xfId="0" applyFont="1" applyFill="1" applyBorder="1" applyAlignment="1">
      <alignment horizontal="center" wrapText="1"/>
    </xf>
    <xf numFmtId="0" fontId="15" fillId="7" borderId="52" xfId="0" applyFont="1" applyFill="1" applyBorder="1" applyAlignment="1">
      <alignment horizontal="center" wrapText="1"/>
    </xf>
    <xf numFmtId="0" fontId="19" fillId="0" borderId="0" xfId="0" applyFont="1" applyBorder="1" applyAlignment="1">
      <alignment horizontal="center" vertical="center"/>
    </xf>
    <xf numFmtId="0" fontId="15" fillId="7" borderId="40" xfId="0" applyFont="1" applyFill="1" applyBorder="1" applyAlignment="1">
      <alignment horizontal="center" vertical="center" wrapText="1"/>
    </xf>
    <xf numFmtId="0" fontId="15" fillId="7" borderId="37" xfId="0" applyFont="1" applyFill="1" applyBorder="1" applyAlignment="1">
      <alignment horizontal="center" vertical="center" wrapText="1"/>
    </xf>
    <xf numFmtId="0" fontId="15" fillId="7" borderId="41" xfId="0" applyFont="1" applyFill="1" applyBorder="1" applyAlignment="1">
      <alignment horizontal="center" vertical="center" wrapText="1"/>
    </xf>
    <xf numFmtId="0" fontId="15" fillId="7" borderId="35" xfId="0" applyFont="1" applyFill="1" applyBorder="1" applyAlignment="1">
      <alignment horizontal="center" vertical="center" wrapText="1"/>
    </xf>
    <xf numFmtId="0" fontId="15" fillId="7" borderId="41" xfId="0" applyFont="1" applyFill="1" applyBorder="1" applyAlignment="1">
      <alignment vertical="center" wrapText="1"/>
    </xf>
    <xf numFmtId="0" fontId="15" fillId="7" borderId="35" xfId="0" applyFont="1" applyFill="1" applyBorder="1" applyAlignment="1">
      <alignment vertical="center" wrapText="1"/>
    </xf>
    <xf numFmtId="49" fontId="15" fillId="7" borderId="41" xfId="0" applyNumberFormat="1" applyFont="1" applyFill="1" applyBorder="1" applyAlignment="1">
      <alignment horizontal="center" vertical="center" wrapText="1"/>
    </xf>
    <xf numFmtId="49" fontId="15" fillId="7" borderId="35" xfId="0" applyNumberFormat="1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left" vertical="center"/>
    </xf>
    <xf numFmtId="0" fontId="7" fillId="7" borderId="26" xfId="0" applyFont="1" applyFill="1" applyBorder="1" applyAlignment="1">
      <alignment horizontal="left" vertical="center"/>
    </xf>
    <xf numFmtId="0" fontId="7" fillId="7" borderId="27" xfId="0" applyFont="1" applyFill="1" applyBorder="1" applyAlignment="1">
      <alignment horizontal="left" vertical="center"/>
    </xf>
    <xf numFmtId="0" fontId="7" fillId="7" borderId="28" xfId="0" applyFont="1" applyFill="1" applyBorder="1" applyAlignment="1">
      <alignment horizontal="left" vertical="center"/>
    </xf>
    <xf numFmtId="0" fontId="7" fillId="7" borderId="29" xfId="0" applyFont="1" applyFill="1" applyBorder="1" applyAlignment="1">
      <alignment horizontal="left" vertical="center"/>
    </xf>
    <xf numFmtId="0" fontId="15" fillId="7" borderId="33" xfId="0" applyFont="1" applyFill="1" applyBorder="1" applyAlignment="1">
      <alignment horizontal="center" vertical="center" wrapText="1"/>
    </xf>
    <xf numFmtId="0" fontId="15" fillId="7" borderId="34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/>
    </xf>
    <xf numFmtId="0" fontId="15" fillId="7" borderId="34" xfId="0" applyFont="1" applyFill="1" applyBorder="1" applyAlignment="1">
      <alignment vertical="center" wrapText="1"/>
    </xf>
    <xf numFmtId="43" fontId="9" fillId="0" borderId="12" xfId="2" applyFont="1" applyBorder="1" applyAlignment="1">
      <alignment horizontal="center"/>
    </xf>
    <xf numFmtId="43" fontId="9" fillId="0" borderId="0" xfId="2" applyFont="1" applyBorder="1" applyAlignment="1">
      <alignment horizontal="center"/>
    </xf>
    <xf numFmtId="43" fontId="9" fillId="0" borderId="13" xfId="2" applyFont="1" applyBorder="1" applyAlignment="1">
      <alignment horizontal="center"/>
    </xf>
    <xf numFmtId="0" fontId="9" fillId="7" borderId="17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0" fontId="9" fillId="7" borderId="19" xfId="0" applyFont="1" applyFill="1" applyBorder="1" applyAlignment="1">
      <alignment horizontal="center"/>
    </xf>
    <xf numFmtId="0" fontId="7" fillId="7" borderId="17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left" vertical="center"/>
    </xf>
    <xf numFmtId="0" fontId="7" fillId="7" borderId="21" xfId="0" applyFont="1" applyFill="1" applyBorder="1" applyAlignment="1">
      <alignment horizontal="left" vertical="center"/>
    </xf>
    <xf numFmtId="0" fontId="7" fillId="7" borderId="22" xfId="0" applyFont="1" applyFill="1" applyBorder="1" applyAlignment="1">
      <alignment horizontal="left" vertical="center"/>
    </xf>
    <xf numFmtId="0" fontId="7" fillId="7" borderId="23" xfId="0" applyFont="1" applyFill="1" applyBorder="1" applyAlignment="1">
      <alignment horizontal="left" vertical="center"/>
    </xf>
    <xf numFmtId="0" fontId="7" fillId="7" borderId="24" xfId="0" applyFont="1" applyFill="1" applyBorder="1" applyAlignment="1">
      <alignment horizontal="left" vertical="center"/>
    </xf>
    <xf numFmtId="0" fontId="25" fillId="0" borderId="0" xfId="0" applyFont="1" applyAlignment="1">
      <alignment horizontal="center" vertical="justify"/>
    </xf>
    <xf numFmtId="0" fontId="26" fillId="0" borderId="0" xfId="1" applyFont="1" applyAlignment="1" applyProtection="1">
      <alignment horizontal="center"/>
    </xf>
    <xf numFmtId="0" fontId="0" fillId="0" borderId="0" xfId="0" applyFont="1" applyAlignment="1">
      <alignment horizontal="center" vertical="justify"/>
    </xf>
    <xf numFmtId="0" fontId="26" fillId="0" borderId="12" xfId="0" applyFont="1" applyBorder="1"/>
    <xf numFmtId="0" fontId="26" fillId="0" borderId="0" xfId="0" applyFont="1" applyBorder="1"/>
    <xf numFmtId="43" fontId="26" fillId="0" borderId="0" xfId="2" applyFont="1" applyBorder="1"/>
    <xf numFmtId="0" fontId="26" fillId="0" borderId="13" xfId="0" applyFont="1" applyBorder="1"/>
  </cellXfs>
  <cellStyles count="6">
    <cellStyle name="Moeda_Composicao BDI v2.1" xfId="4" xr:uid="{9F5E1CE6-9D03-4E6D-840F-CD8D40433571}"/>
    <cellStyle name="Normal" xfId="0" builtinId="0"/>
    <cellStyle name="Normal 2" xfId="1" xr:uid="{19960223-FDDE-4C38-9812-2108B1CC45A2}"/>
    <cellStyle name="Normal 2 2" xfId="5" xr:uid="{08C02683-2288-4248-BB37-9A56CFA0F9AC}"/>
    <cellStyle name="Normal_FICHA DE VERIFICAÇÃO PRELIMINAR - Plano R" xfId="3" xr:uid="{A582455C-589B-450D-A323-49622C53A074}"/>
    <cellStyle name="Vírgula" xfId="2" builtinId="3"/>
  </cellStyles>
  <dxfs count="132">
    <dxf>
      <font>
        <b/>
        <i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 style="thin">
          <color indexed="64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0</xdr:row>
          <xdr:rowOff>0</xdr:rowOff>
        </xdr:from>
        <xdr:to>
          <xdr:col>1</xdr:col>
          <xdr:colOff>274320</xdr:colOff>
          <xdr:row>1</xdr:row>
          <xdr:rowOff>16250</xdr:rowOff>
        </xdr:to>
        <xdr:sp macro="" textlink="">
          <xdr:nvSpPr>
            <xdr:cNvPr id="6147" name="Butto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t-B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Adicionar Composição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0</xdr:row>
          <xdr:rowOff>0</xdr:rowOff>
        </xdr:from>
        <xdr:to>
          <xdr:col>3</xdr:col>
          <xdr:colOff>274320</xdr:colOff>
          <xdr:row>1</xdr:row>
          <xdr:rowOff>16250</xdr:rowOff>
        </xdr:to>
        <xdr:sp macro="" textlink="">
          <xdr:nvSpPr>
            <xdr:cNvPr id="6148" name="Butto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t-B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Adicionar Linha(s)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2103120</xdr:colOff>
          <xdr:row>0</xdr:row>
          <xdr:rowOff>0</xdr:rowOff>
        </xdr:from>
        <xdr:to>
          <xdr:col>3</xdr:col>
          <xdr:colOff>274320</xdr:colOff>
          <xdr:row>1</xdr:row>
          <xdr:rowOff>16250</xdr:rowOff>
        </xdr:to>
        <xdr:sp macro="" textlink="">
          <xdr:nvSpPr>
            <xdr:cNvPr id="6149" name="Button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5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t-B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Excluir Linha(s)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3429000</xdr:colOff>
          <xdr:row>0</xdr:row>
          <xdr:rowOff>0</xdr:rowOff>
        </xdr:from>
        <xdr:to>
          <xdr:col>3</xdr:col>
          <xdr:colOff>274320</xdr:colOff>
          <xdr:row>1</xdr:row>
          <xdr:rowOff>16250</xdr:rowOff>
        </xdr:to>
        <xdr:sp macro="" textlink="">
          <xdr:nvSpPr>
            <xdr:cNvPr id="6150" name="Button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5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t-B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Buscar Código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0</xdr:row>
          <xdr:rowOff>0</xdr:rowOff>
        </xdr:from>
        <xdr:to>
          <xdr:col>8</xdr:col>
          <xdr:colOff>205740</xdr:colOff>
          <xdr:row>1</xdr:row>
          <xdr:rowOff>1010</xdr:rowOff>
        </xdr:to>
        <xdr:sp macro="" textlink="">
          <xdr:nvSpPr>
            <xdr:cNvPr id="6152" name="Button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5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t-B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Exportar TXT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0</xdr:row>
          <xdr:rowOff>0</xdr:rowOff>
        </xdr:from>
        <xdr:to>
          <xdr:col>8</xdr:col>
          <xdr:colOff>205740</xdr:colOff>
          <xdr:row>1</xdr:row>
          <xdr:rowOff>1010</xdr:rowOff>
        </xdr:to>
        <xdr:sp macro="" textlink="">
          <xdr:nvSpPr>
            <xdr:cNvPr id="6153" name="Button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5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t-B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Importar TXT(s)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IFFORD/Desktop/MEUS%20DOCUMENTOS/PMIBERTIOGA/MDR/PAVIMENTA&#199;&#195;O%20DE%20VIAS%20URBANAS_2021/PROJETO%20NOVO/PLANILHA%20M&#218;LTIPLA%20ATUALIZADA/PLANILHA%20M&#218;LTIPLA%20-%20GER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IFFORD/Desktop/MEUS%20DOCUMENTOS/PMIBERTIOGA/MDR/PAVIMENTA&#199;&#195;O%20DE%20VIAS%20URBANAS_2021/PAVIMENTA&#199;&#195;O%20TRECHO%201%20E%203/M&#218;LTIPLA%20-%20TRECHOS%201%20E%203%20-%20ATUALIZADA/M&#218;LTIPLA%20-%20TRECHOS%201%20E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IFFORD/Desktop/MEUS%20DOCUMENTOS/PMIBERTIOGA/MDR/PAVIMENTA&#199;&#195;O%20DE%20VIAS%20URBANAS_2021/PAVIMENTA&#199;&#195;O%20TRECHO%202/M&#218;LTIPLA%20-%20TRECHO%202/Refer&#234;ncia%2007-202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IFFORD/Desktop/MEUS%20DOCUMENTOS/PMPRGRANDE/MDR/PAVIMENTA&#199;&#195;O%20CBUQ_2019/EXECU&#199;&#195;O%20-%20PAVIMENTA&#199;&#195;O%20CBUQ_2019/PLANILHA_EXECU&#199;&#195;O%20-%20PAVIMENTA&#199;&#195;O%20CBUQ_2019/PLANILHA%20M&#218;LTIPLA%20-%20EXECU&#199;&#195;O%20-%20PAVIMENTA&#199;&#195;O%20CBUQ_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5">
          <cell r="F5" t="str">
            <v>MUNICIPIO DE IBERTIOGA</v>
          </cell>
        </row>
        <row r="6">
          <cell r="F6" t="str">
            <v>IBERTIOGA-MG</v>
          </cell>
        </row>
        <row r="7">
          <cell r="F7" t="str">
            <v>1076176-96</v>
          </cell>
        </row>
        <row r="8">
          <cell r="F8" t="str">
            <v>911.461/2021</v>
          </cell>
        </row>
        <row r="16">
          <cell r="F16" t="str">
            <v>PAVIMENTAÇÃO DE VIAS URBANAS - TRECHOS 1 E 3</v>
          </cell>
        </row>
        <row r="17">
          <cell r="F17" t="str">
            <v>PAVIMENTAÇÃO DE VIAS URBANAS</v>
          </cell>
        </row>
        <row r="18">
          <cell r="F18" t="str">
            <v>DESONERADO</v>
          </cell>
        </row>
        <row r="22">
          <cell r="F22" t="str">
            <v>CLIFFORD PETERLE REZENDE</v>
          </cell>
        </row>
        <row r="23">
          <cell r="F23" t="str">
            <v>MG Nº56.477/D</v>
          </cell>
        </row>
      </sheetData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Analitico"/>
      <sheetName val="Banco"/>
      <sheetName val="Composições"/>
      <sheetName val="Cotações"/>
      <sheetName val="Relatórios"/>
      <sheetName val="Busca"/>
    </sheetNames>
    <sheetDataSet>
      <sheetData sheetId="0"/>
      <sheetData sheetId="1"/>
      <sheetData sheetId="2"/>
      <sheetData sheetId="3"/>
      <sheetData sheetId="4">
        <row r="20">
          <cell r="B20" t="str">
            <v>ÍNDICE</v>
          </cell>
        </row>
        <row r="25">
          <cell r="B25" t="str">
            <v>EMPRESAS</v>
          </cell>
        </row>
      </sheetData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MÚLTIPLA - EXECUÇÃO - "/>
    </sheetNames>
    <sheetDataSet>
      <sheetData sheetId="0">
        <row r="3">
          <cell r="O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B2B71-8E37-4814-96B6-B98E7EDBC74A}">
  <dimension ref="B3:L89"/>
  <sheetViews>
    <sheetView tabSelected="1" topLeftCell="A55" zoomScale="77" zoomScaleNormal="77" workbookViewId="0">
      <selection activeCell="B3" sqref="B3:J3"/>
    </sheetView>
  </sheetViews>
  <sheetFormatPr defaultRowHeight="14.4" x14ac:dyDescent="0.3"/>
  <cols>
    <col min="2" max="2" width="8.88671875" style="15"/>
    <col min="3" max="3" width="13.44140625" style="15" customWidth="1"/>
    <col min="4" max="4" width="8.88671875" style="15"/>
    <col min="5" max="5" width="62.109375" style="14" customWidth="1"/>
    <col min="6" max="6" width="8.88671875" style="15"/>
    <col min="7" max="7" width="10.77734375" style="16" customWidth="1"/>
    <col min="8" max="8" width="12.21875" style="15" customWidth="1"/>
    <col min="9" max="9" width="12.33203125" style="16" customWidth="1"/>
    <col min="10" max="10" width="14.33203125" style="16" customWidth="1"/>
    <col min="11" max="11" width="8.88671875" style="15"/>
    <col min="12" max="12" width="10.33203125" bestFit="1" customWidth="1"/>
  </cols>
  <sheetData>
    <row r="3" spans="2:11" ht="33.6" x14ac:dyDescent="0.3">
      <c r="B3" s="314" t="s">
        <v>329</v>
      </c>
      <c r="C3" s="314"/>
      <c r="D3" s="314"/>
      <c r="E3" s="314"/>
      <c r="F3" s="314"/>
      <c r="G3" s="314"/>
      <c r="H3" s="314"/>
      <c r="I3" s="314"/>
      <c r="J3" s="314"/>
    </row>
    <row r="7" spans="2:11" ht="23.4" x14ac:dyDescent="0.3">
      <c r="B7" s="213" t="s">
        <v>72</v>
      </c>
      <c r="C7" s="213"/>
      <c r="D7" s="213"/>
      <c r="E7" s="213"/>
      <c r="F7" s="213"/>
      <c r="G7" s="213"/>
      <c r="H7" s="213"/>
      <c r="I7" s="213"/>
      <c r="J7" s="213"/>
    </row>
    <row r="9" spans="2:11" s="44" customFormat="1" x14ac:dyDescent="0.3">
      <c r="B9" s="212" t="s">
        <v>163</v>
      </c>
      <c r="C9" s="212"/>
      <c r="D9" s="212"/>
      <c r="E9" s="212"/>
      <c r="F9" s="212"/>
      <c r="G9" s="212"/>
      <c r="H9" s="212"/>
      <c r="I9" s="212"/>
      <c r="J9" s="212"/>
      <c r="K9" s="43"/>
    </row>
    <row r="10" spans="2:11" s="44" customFormat="1" x14ac:dyDescent="0.3">
      <c r="B10" s="212" t="s">
        <v>104</v>
      </c>
      <c r="C10" s="212"/>
      <c r="D10" s="212"/>
      <c r="E10" s="212"/>
      <c r="F10" s="212"/>
      <c r="G10" s="212"/>
      <c r="H10" s="212"/>
      <c r="I10" s="212"/>
      <c r="J10" s="212"/>
      <c r="K10" s="43"/>
    </row>
    <row r="11" spans="2:11" s="44" customFormat="1" x14ac:dyDescent="0.3">
      <c r="B11" s="45" t="s">
        <v>122</v>
      </c>
      <c r="C11" s="43"/>
      <c r="D11" s="43"/>
      <c r="E11" s="46"/>
      <c r="F11" s="43"/>
      <c r="G11" s="47"/>
      <c r="H11" s="43"/>
      <c r="I11" s="43" t="s">
        <v>15</v>
      </c>
      <c r="J11" s="48">
        <v>0.22</v>
      </c>
      <c r="K11" s="43"/>
    </row>
    <row r="12" spans="2:11" s="44" customFormat="1" x14ac:dyDescent="0.3">
      <c r="B12" s="43"/>
      <c r="C12" s="43"/>
      <c r="D12" s="43"/>
      <c r="E12" s="46"/>
      <c r="F12" s="43"/>
      <c r="G12" s="47"/>
      <c r="H12" s="43"/>
      <c r="I12" s="47"/>
      <c r="J12" s="47"/>
      <c r="K12" s="43"/>
    </row>
    <row r="13" spans="2:11" ht="28.8" customHeight="1" x14ac:dyDescent="0.3">
      <c r="B13" s="19" t="s">
        <v>56</v>
      </c>
      <c r="C13" s="19" t="s">
        <v>57</v>
      </c>
      <c r="D13" s="19" t="s">
        <v>58</v>
      </c>
      <c r="E13" s="19" t="s">
        <v>59</v>
      </c>
      <c r="F13" s="19" t="s">
        <v>60</v>
      </c>
      <c r="G13" s="20" t="s">
        <v>61</v>
      </c>
      <c r="H13" s="21" t="s">
        <v>67</v>
      </c>
      <c r="I13" s="22" t="s">
        <v>62</v>
      </c>
      <c r="J13" s="22" t="s">
        <v>63</v>
      </c>
    </row>
    <row r="14" spans="2:11" x14ac:dyDescent="0.3">
      <c r="B14" s="19"/>
      <c r="C14" s="19"/>
      <c r="D14" s="19"/>
      <c r="E14" s="23"/>
      <c r="F14" s="19"/>
      <c r="G14" s="20"/>
      <c r="H14" s="19"/>
      <c r="I14" s="20"/>
      <c r="J14" s="20"/>
    </row>
    <row r="15" spans="2:11" s="18" customFormat="1" x14ac:dyDescent="0.3">
      <c r="B15" s="125">
        <v>1</v>
      </c>
      <c r="C15" s="125"/>
      <c r="D15" s="125"/>
      <c r="E15" s="126" t="s">
        <v>108</v>
      </c>
      <c r="F15" s="125"/>
      <c r="G15" s="127"/>
      <c r="H15" s="125"/>
      <c r="I15" s="128"/>
      <c r="J15" s="127">
        <f>J17+J39+J51+J58+J67+J71+J76</f>
        <v>557277.99</v>
      </c>
      <c r="K15" s="17"/>
    </row>
    <row r="16" spans="2:11" s="18" customFormat="1" x14ac:dyDescent="0.3">
      <c r="B16" s="121"/>
      <c r="C16" s="121"/>
      <c r="D16" s="121"/>
      <c r="E16" s="122"/>
      <c r="F16" s="121"/>
      <c r="G16" s="123"/>
      <c r="H16" s="121"/>
      <c r="I16" s="124"/>
      <c r="J16" s="123"/>
      <c r="K16" s="17"/>
    </row>
    <row r="17" spans="2:12" s="18" customFormat="1" x14ac:dyDescent="0.3">
      <c r="B17" s="137" t="s">
        <v>70</v>
      </c>
      <c r="C17" s="137"/>
      <c r="D17" s="137"/>
      <c r="E17" s="138" t="s">
        <v>107</v>
      </c>
      <c r="F17" s="137"/>
      <c r="G17" s="139"/>
      <c r="H17" s="137"/>
      <c r="I17" s="140"/>
      <c r="J17" s="139">
        <f>SUM(J18:J38)</f>
        <v>422891.27999999997</v>
      </c>
      <c r="K17" s="17"/>
    </row>
    <row r="18" spans="2:12" x14ac:dyDescent="0.3">
      <c r="B18" s="19" t="s">
        <v>109</v>
      </c>
      <c r="C18" s="19" t="s">
        <v>64</v>
      </c>
      <c r="D18" s="19">
        <v>1</v>
      </c>
      <c r="E18" s="23" t="s">
        <v>28</v>
      </c>
      <c r="F18" s="19" t="s">
        <v>29</v>
      </c>
      <c r="G18" s="20">
        <f>'MEMÓRIA DE CÁLCULO'!G17</f>
        <v>4.5</v>
      </c>
      <c r="H18" s="20">
        <f>ROUND(COMPOSIÇÕES!H14,2)</f>
        <v>592.54</v>
      </c>
      <c r="I18" s="20">
        <f t="shared" ref="I18" si="0">ROUND(H18*$J$11+H18,2)</f>
        <v>722.9</v>
      </c>
      <c r="J18" s="20">
        <f>ROUND(G18*I18,2)</f>
        <v>3253.05</v>
      </c>
    </row>
    <row r="19" spans="2:12" x14ac:dyDescent="0.3">
      <c r="B19" s="19" t="s">
        <v>110</v>
      </c>
      <c r="C19" s="190" t="s">
        <v>24</v>
      </c>
      <c r="D19" s="19">
        <v>99063</v>
      </c>
      <c r="E19" s="23" t="s">
        <v>291</v>
      </c>
      <c r="F19" s="19" t="s">
        <v>27</v>
      </c>
      <c r="G19" s="20">
        <f>'MEMÓRIA DE CÁLCULO'!G18</f>
        <v>737.5</v>
      </c>
      <c r="H19" s="20">
        <v>5.71</v>
      </c>
      <c r="I19" s="20">
        <f t="shared" ref="I19:I27" si="1">ROUND(H19*$J$11+H19,2)</f>
        <v>6.97</v>
      </c>
      <c r="J19" s="20">
        <f t="shared" ref="J19:J32" si="2">ROUND(G19*I19,2)</f>
        <v>5140.38</v>
      </c>
    </row>
    <row r="20" spans="2:12" ht="57.6" x14ac:dyDescent="0.3">
      <c r="B20" s="19" t="s">
        <v>111</v>
      </c>
      <c r="C20" s="19" t="s">
        <v>24</v>
      </c>
      <c r="D20" s="19" t="s">
        <v>40</v>
      </c>
      <c r="E20" s="23" t="s">
        <v>55</v>
      </c>
      <c r="F20" s="19" t="s">
        <v>41</v>
      </c>
      <c r="G20" s="20">
        <f>'MEMÓRIA DE CÁLCULO'!G19</f>
        <v>112.32</v>
      </c>
      <c r="H20" s="20">
        <v>8.81</v>
      </c>
      <c r="I20" s="20">
        <f t="shared" si="1"/>
        <v>10.75</v>
      </c>
      <c r="J20" s="20">
        <f t="shared" si="2"/>
        <v>1207.44</v>
      </c>
    </row>
    <row r="21" spans="2:12" ht="58.2" customHeight="1" x14ac:dyDescent="0.3">
      <c r="B21" s="19" t="s">
        <v>112</v>
      </c>
      <c r="C21" s="19" t="s">
        <v>24</v>
      </c>
      <c r="D21" s="19">
        <v>90106</v>
      </c>
      <c r="E21" s="113" t="s">
        <v>147</v>
      </c>
      <c r="F21" s="19" t="s">
        <v>41</v>
      </c>
      <c r="G21" s="20">
        <f>'MEMÓRIA DE CÁLCULO'!G22</f>
        <v>528.58000000000004</v>
      </c>
      <c r="H21" s="20">
        <v>7.48</v>
      </c>
      <c r="I21" s="20">
        <f t="shared" si="1"/>
        <v>9.1300000000000008</v>
      </c>
      <c r="J21" s="20">
        <f t="shared" si="2"/>
        <v>4825.9399999999996</v>
      </c>
      <c r="L21" s="114">
        <f>L20*1.1*1.8</f>
        <v>0</v>
      </c>
    </row>
    <row r="22" spans="2:12" ht="57.6" customHeight="1" x14ac:dyDescent="0.3">
      <c r="B22" s="19" t="s">
        <v>113</v>
      </c>
      <c r="C22" s="19" t="s">
        <v>24</v>
      </c>
      <c r="D22" s="19">
        <v>90108</v>
      </c>
      <c r="E22" s="113" t="s">
        <v>148</v>
      </c>
      <c r="F22" s="19" t="s">
        <v>41</v>
      </c>
      <c r="G22" s="20">
        <f>'MEMÓRIA DE CÁLCULO'!G26</f>
        <v>722.53</v>
      </c>
      <c r="H22" s="20">
        <v>6.73</v>
      </c>
      <c r="I22" s="20">
        <f t="shared" ref="I22" si="3">ROUND(H22*$J$11+H22,2)</f>
        <v>8.2100000000000009</v>
      </c>
      <c r="J22" s="20">
        <f t="shared" ref="J22" si="4">ROUND(G22*I22,2)</f>
        <v>5931.97</v>
      </c>
      <c r="L22" s="114">
        <f>L21*1.1*1.8</f>
        <v>0</v>
      </c>
    </row>
    <row r="23" spans="2:12" ht="28.2" customHeight="1" x14ac:dyDescent="0.3">
      <c r="B23" s="19" t="s">
        <v>114</v>
      </c>
      <c r="C23" s="19" t="s">
        <v>24</v>
      </c>
      <c r="D23" s="19">
        <v>101570</v>
      </c>
      <c r="E23" s="113" t="s">
        <v>137</v>
      </c>
      <c r="F23" s="19" t="s">
        <v>29</v>
      </c>
      <c r="G23" s="20">
        <f>'MEMÓRIA DE CÁLCULO'!G32</f>
        <v>101</v>
      </c>
      <c r="H23" s="20">
        <v>24.94</v>
      </c>
      <c r="I23" s="20">
        <f t="shared" ref="I23:I24" si="5">ROUND(H23*$J$11+H23,2)</f>
        <v>30.43</v>
      </c>
      <c r="J23" s="20">
        <f t="shared" ref="J23:J24" si="6">ROUND(G23*I23,2)</f>
        <v>3073.43</v>
      </c>
      <c r="L23" s="114"/>
    </row>
    <row r="24" spans="2:12" ht="28.2" customHeight="1" x14ac:dyDescent="0.3">
      <c r="B24" s="19" t="s">
        <v>115</v>
      </c>
      <c r="C24" s="19" t="s">
        <v>24</v>
      </c>
      <c r="D24" s="19">
        <v>101572</v>
      </c>
      <c r="E24" s="113" t="s">
        <v>150</v>
      </c>
      <c r="F24" s="19" t="s">
        <v>29</v>
      </c>
      <c r="G24" s="20">
        <f>'MEMÓRIA DE CÁLCULO'!G35</f>
        <v>462</v>
      </c>
      <c r="H24" s="20">
        <v>19.920000000000002</v>
      </c>
      <c r="I24" s="20">
        <f t="shared" si="5"/>
        <v>24.3</v>
      </c>
      <c r="J24" s="20">
        <f t="shared" si="6"/>
        <v>11226.6</v>
      </c>
      <c r="L24" s="114"/>
    </row>
    <row r="25" spans="2:12" ht="28.8" x14ac:dyDescent="0.3">
      <c r="B25" s="19" t="s">
        <v>116</v>
      </c>
      <c r="C25" s="19" t="s">
        <v>24</v>
      </c>
      <c r="D25" s="19" t="s">
        <v>38</v>
      </c>
      <c r="E25" s="23" t="s">
        <v>53</v>
      </c>
      <c r="F25" s="19" t="s">
        <v>29</v>
      </c>
      <c r="G25" s="20">
        <f>'MEMÓRIA DE CÁLCULO'!G41</f>
        <v>296.39999999999998</v>
      </c>
      <c r="H25" s="20">
        <v>5.53</v>
      </c>
      <c r="I25" s="20">
        <f t="shared" si="1"/>
        <v>6.75</v>
      </c>
      <c r="J25" s="20">
        <f t="shared" si="2"/>
        <v>2000.7</v>
      </c>
    </row>
    <row r="26" spans="2:12" ht="57.6" x14ac:dyDescent="0.3">
      <c r="B26" s="19" t="s">
        <v>117</v>
      </c>
      <c r="C26" s="19" t="s">
        <v>24</v>
      </c>
      <c r="D26" s="19" t="s">
        <v>65</v>
      </c>
      <c r="E26" s="23" t="s">
        <v>68</v>
      </c>
      <c r="F26" s="19" t="s">
        <v>27</v>
      </c>
      <c r="G26" s="20">
        <f>'MEMÓRIA DE CÁLCULO'!G42</f>
        <v>156</v>
      </c>
      <c r="H26" s="20">
        <v>119.9</v>
      </c>
      <c r="I26" s="20">
        <f t="shared" si="1"/>
        <v>146.28</v>
      </c>
      <c r="J26" s="20">
        <f t="shared" si="2"/>
        <v>22819.68</v>
      </c>
    </row>
    <row r="27" spans="2:12" ht="57.6" x14ac:dyDescent="0.3">
      <c r="B27" s="19" t="s">
        <v>118</v>
      </c>
      <c r="C27" s="19" t="s">
        <v>24</v>
      </c>
      <c r="D27" s="19" t="s">
        <v>66</v>
      </c>
      <c r="E27" s="23" t="s">
        <v>69</v>
      </c>
      <c r="F27" s="19" t="s">
        <v>27</v>
      </c>
      <c r="G27" s="20">
        <f>'MEMÓRIA DE CÁLCULO'!G43</f>
        <v>350.5</v>
      </c>
      <c r="H27" s="20">
        <v>202.73</v>
      </c>
      <c r="I27" s="20">
        <f t="shared" si="1"/>
        <v>247.33</v>
      </c>
      <c r="J27" s="20">
        <f t="shared" si="2"/>
        <v>86689.17</v>
      </c>
    </row>
    <row r="28" spans="2:12" s="120" customFormat="1" ht="57.6" x14ac:dyDescent="0.3">
      <c r="B28" s="19" t="s">
        <v>119</v>
      </c>
      <c r="C28" s="116" t="s">
        <v>24</v>
      </c>
      <c r="D28" s="116">
        <v>92212</v>
      </c>
      <c r="E28" s="117" t="s">
        <v>105</v>
      </c>
      <c r="F28" s="116" t="s">
        <v>27</v>
      </c>
      <c r="G28" s="20">
        <f>'MEMÓRIA DE CÁLCULO'!G44</f>
        <v>183</v>
      </c>
      <c r="H28" s="118">
        <v>316.95</v>
      </c>
      <c r="I28" s="118">
        <f t="shared" ref="I28:I31" si="7">ROUND(H28*$J$11+H28,2)</f>
        <v>386.68</v>
      </c>
      <c r="J28" s="20">
        <f t="shared" si="2"/>
        <v>70762.44</v>
      </c>
      <c r="K28" s="119"/>
    </row>
    <row r="29" spans="2:12" s="120" customFormat="1" ht="57.6" x14ac:dyDescent="0.3">
      <c r="B29" s="19" t="s">
        <v>120</v>
      </c>
      <c r="C29" s="116" t="s">
        <v>24</v>
      </c>
      <c r="D29" s="116">
        <v>92214</v>
      </c>
      <c r="E29" s="117" t="s">
        <v>103</v>
      </c>
      <c r="F29" s="116" t="s">
        <v>27</v>
      </c>
      <c r="G29" s="20">
        <f>'MEMÓRIA DE CÁLCULO'!G45</f>
        <v>48</v>
      </c>
      <c r="H29" s="118">
        <v>502.88</v>
      </c>
      <c r="I29" s="118">
        <f t="shared" ref="I29" si="8">ROUND(H29*$J$11+H29,2)</f>
        <v>613.51</v>
      </c>
      <c r="J29" s="20">
        <f t="shared" si="2"/>
        <v>29448.48</v>
      </c>
      <c r="K29" s="119"/>
    </row>
    <row r="30" spans="2:12" ht="28.8" x14ac:dyDescent="0.3">
      <c r="B30" s="19" t="s">
        <v>135</v>
      </c>
      <c r="C30" s="19" t="s">
        <v>24</v>
      </c>
      <c r="D30" s="19">
        <v>93382</v>
      </c>
      <c r="E30" s="23" t="s">
        <v>54</v>
      </c>
      <c r="F30" s="19" t="s">
        <v>41</v>
      </c>
      <c r="G30" s="20">
        <f>'MEMÓRIA DE CÁLCULO'!G46</f>
        <v>1215.2200000000003</v>
      </c>
      <c r="H30" s="20">
        <v>30.2</v>
      </c>
      <c r="I30" s="20">
        <f t="shared" si="7"/>
        <v>36.840000000000003</v>
      </c>
      <c r="J30" s="20">
        <f t="shared" si="2"/>
        <v>44768.7</v>
      </c>
    </row>
    <row r="31" spans="2:12" s="120" customFormat="1" x14ac:dyDescent="0.3">
      <c r="B31" s="19" t="s">
        <v>136</v>
      </c>
      <c r="C31" s="116" t="s">
        <v>121</v>
      </c>
      <c r="D31" s="116" t="s">
        <v>125</v>
      </c>
      <c r="E31" s="117" t="s">
        <v>126</v>
      </c>
      <c r="F31" s="116" t="s">
        <v>102</v>
      </c>
      <c r="G31" s="20">
        <f>'MEMÓRIA DE CÁLCULO'!G52</f>
        <v>1</v>
      </c>
      <c r="H31" s="118">
        <v>1559.27</v>
      </c>
      <c r="I31" s="118">
        <f t="shared" si="7"/>
        <v>1902.31</v>
      </c>
      <c r="J31" s="20">
        <f t="shared" si="2"/>
        <v>1902.31</v>
      </c>
      <c r="K31" s="119"/>
    </row>
    <row r="32" spans="2:12" ht="29.4" customHeight="1" x14ac:dyDescent="0.3">
      <c r="B32" s="19" t="s">
        <v>149</v>
      </c>
      <c r="C32" s="116" t="s">
        <v>121</v>
      </c>
      <c r="D32" s="19" t="s">
        <v>123</v>
      </c>
      <c r="E32" s="113" t="s">
        <v>124</v>
      </c>
      <c r="F32" s="19" t="s">
        <v>102</v>
      </c>
      <c r="G32" s="20">
        <f>'MEMÓRIA DE CÁLCULO'!G53</f>
        <v>1</v>
      </c>
      <c r="H32" s="20">
        <v>509.62</v>
      </c>
      <c r="I32" s="20">
        <f t="shared" ref="I32" si="9">ROUND(H32*$J$11+H32,2)</f>
        <v>621.74</v>
      </c>
      <c r="J32" s="20">
        <f t="shared" si="2"/>
        <v>621.74</v>
      </c>
    </row>
    <row r="33" spans="2:12" ht="43.8" customHeight="1" x14ac:dyDescent="0.3">
      <c r="B33" s="190" t="s">
        <v>283</v>
      </c>
      <c r="C33" s="116" t="s">
        <v>24</v>
      </c>
      <c r="D33" s="190">
        <v>99254</v>
      </c>
      <c r="E33" s="113" t="s">
        <v>287</v>
      </c>
      <c r="F33" s="190" t="s">
        <v>27</v>
      </c>
      <c r="G33" s="20">
        <f>'MEMÓRIA DE CÁLCULO'!G54</f>
        <v>0.78</v>
      </c>
      <c r="H33" s="20">
        <v>1165.83</v>
      </c>
      <c r="I33" s="20">
        <f t="shared" ref="I33:I36" si="10">ROUND(H33*$J$11+H33,2)</f>
        <v>1422.31</v>
      </c>
      <c r="J33" s="20">
        <f t="shared" ref="J33:J36" si="11">ROUND(G33*I33,2)</f>
        <v>1109.4000000000001</v>
      </c>
      <c r="L33" s="192"/>
    </row>
    <row r="34" spans="2:12" ht="46.2" customHeight="1" x14ac:dyDescent="0.3">
      <c r="B34" s="190" t="s">
        <v>284</v>
      </c>
      <c r="C34" s="116" t="s">
        <v>24</v>
      </c>
      <c r="D34" s="190">
        <v>99252</v>
      </c>
      <c r="E34" s="113" t="s">
        <v>288</v>
      </c>
      <c r="F34" s="190" t="s">
        <v>102</v>
      </c>
      <c r="G34" s="20">
        <f>'MEMÓRIA DE CÁLCULO'!G55</f>
        <v>17</v>
      </c>
      <c r="H34" s="20">
        <v>2465.38</v>
      </c>
      <c r="I34" s="20">
        <f t="shared" si="10"/>
        <v>3007.76</v>
      </c>
      <c r="J34" s="20">
        <f t="shared" si="11"/>
        <v>51131.92</v>
      </c>
    </row>
    <row r="35" spans="2:12" ht="29.4" customHeight="1" x14ac:dyDescent="0.3">
      <c r="B35" s="190" t="s">
        <v>285</v>
      </c>
      <c r="C35" s="116" t="s">
        <v>24</v>
      </c>
      <c r="D35" s="190">
        <v>98114</v>
      </c>
      <c r="E35" s="113" t="s">
        <v>175</v>
      </c>
      <c r="F35" s="190" t="s">
        <v>102</v>
      </c>
      <c r="G35" s="20">
        <f>'MEMÓRIA DE CÁLCULO'!G56</f>
        <v>17</v>
      </c>
      <c r="H35" s="20">
        <v>546.96</v>
      </c>
      <c r="I35" s="20">
        <f t="shared" si="10"/>
        <v>667.29</v>
      </c>
      <c r="J35" s="20">
        <f t="shared" si="11"/>
        <v>11343.93</v>
      </c>
    </row>
    <row r="36" spans="2:12" ht="29.4" customHeight="1" x14ac:dyDescent="0.3">
      <c r="B36" s="190" t="s">
        <v>286</v>
      </c>
      <c r="C36" s="116" t="s">
        <v>24</v>
      </c>
      <c r="D36" s="190">
        <v>97947</v>
      </c>
      <c r="E36" s="113" t="s">
        <v>289</v>
      </c>
      <c r="F36" s="190" t="s">
        <v>102</v>
      </c>
      <c r="G36" s="20">
        <f>'MEMÓRIA DE CÁLCULO'!G57</f>
        <v>30</v>
      </c>
      <c r="H36" s="20">
        <v>1793.28</v>
      </c>
      <c r="I36" s="20">
        <f t="shared" si="10"/>
        <v>2187.8000000000002</v>
      </c>
      <c r="J36" s="20">
        <f t="shared" si="11"/>
        <v>65634</v>
      </c>
    </row>
    <row r="37" spans="2:12" x14ac:dyDescent="0.3">
      <c r="B37" s="190"/>
      <c r="C37" s="116"/>
      <c r="D37" s="190"/>
      <c r="E37" s="113"/>
      <c r="F37" s="190"/>
      <c r="G37" s="20"/>
      <c r="H37" s="20"/>
      <c r="I37" s="20"/>
      <c r="J37" s="20"/>
    </row>
    <row r="38" spans="2:12" x14ac:dyDescent="0.3">
      <c r="B38" s="19"/>
      <c r="C38" s="116"/>
      <c r="D38" s="19"/>
      <c r="E38" s="113"/>
      <c r="F38" s="19"/>
      <c r="G38" s="20"/>
      <c r="H38" s="20"/>
      <c r="I38" s="20"/>
      <c r="J38" s="20"/>
    </row>
    <row r="39" spans="2:12" s="18" customFormat="1" x14ac:dyDescent="0.3">
      <c r="B39" s="137" t="s">
        <v>199</v>
      </c>
      <c r="C39" s="137"/>
      <c r="D39" s="137"/>
      <c r="E39" s="138" t="s">
        <v>164</v>
      </c>
      <c r="F39" s="137"/>
      <c r="G39" s="139"/>
      <c r="H39" s="137"/>
      <c r="I39" s="140"/>
      <c r="J39" s="139">
        <f>SUM(J40:J50)</f>
        <v>40043.870000000003</v>
      </c>
      <c r="K39" s="17"/>
    </row>
    <row r="40" spans="2:12" x14ac:dyDescent="0.3">
      <c r="B40" s="19" t="s">
        <v>200</v>
      </c>
      <c r="C40" s="190" t="s">
        <v>24</v>
      </c>
      <c r="D40" s="190">
        <v>99063</v>
      </c>
      <c r="E40" s="23" t="s">
        <v>291</v>
      </c>
      <c r="F40" s="19" t="s">
        <v>27</v>
      </c>
      <c r="G40" s="20">
        <f>'MEMÓRIA DE CÁLCULO'!G61</f>
        <v>167.99</v>
      </c>
      <c r="H40" s="20">
        <v>5.71</v>
      </c>
      <c r="I40" s="20">
        <f t="shared" ref="I40" si="12">ROUND(H40*$J$11+H40,2)</f>
        <v>6.97</v>
      </c>
      <c r="J40" s="20">
        <f t="shared" ref="J40" si="13">ROUND(G40*I40,2)</f>
        <v>1170.8900000000001</v>
      </c>
    </row>
    <row r="41" spans="2:12" ht="57.6" x14ac:dyDescent="0.3">
      <c r="B41" s="19" t="s">
        <v>201</v>
      </c>
      <c r="C41" s="19" t="s">
        <v>24</v>
      </c>
      <c r="D41" s="19" t="s">
        <v>40</v>
      </c>
      <c r="E41" s="23" t="s">
        <v>55</v>
      </c>
      <c r="F41" s="19" t="s">
        <v>41</v>
      </c>
      <c r="G41" s="20">
        <f>'MEMÓRIA DE CÁLCULO'!G62</f>
        <v>79.83</v>
      </c>
      <c r="H41" s="20">
        <v>8.81</v>
      </c>
      <c r="I41" s="20">
        <f t="shared" ref="I41:I49" si="14">ROUND(H41*$J$11+H41,2)</f>
        <v>10.75</v>
      </c>
      <c r="J41" s="20">
        <f t="shared" ref="J41:J49" si="15">ROUND(G41*I41,2)</f>
        <v>858.17</v>
      </c>
    </row>
    <row r="42" spans="2:12" ht="28.8" x14ac:dyDescent="0.3">
      <c r="B42" s="19" t="s">
        <v>202</v>
      </c>
      <c r="C42" s="19" t="s">
        <v>24</v>
      </c>
      <c r="D42" s="19" t="s">
        <v>38</v>
      </c>
      <c r="E42" s="23" t="s">
        <v>53</v>
      </c>
      <c r="F42" s="19" t="s">
        <v>29</v>
      </c>
      <c r="G42" s="20">
        <f>'MEMÓRIA DE CÁLCULO'!G66</f>
        <v>67.2</v>
      </c>
      <c r="H42" s="20">
        <v>5.53</v>
      </c>
      <c r="I42" s="20">
        <f t="shared" si="14"/>
        <v>6.75</v>
      </c>
      <c r="J42" s="20">
        <f t="shared" si="15"/>
        <v>453.6</v>
      </c>
    </row>
    <row r="43" spans="2:12" ht="43.2" x14ac:dyDescent="0.3">
      <c r="B43" s="19" t="s">
        <v>203</v>
      </c>
      <c r="C43" s="19" t="s">
        <v>24</v>
      </c>
      <c r="D43" s="19" t="s">
        <v>165</v>
      </c>
      <c r="E43" s="23" t="s">
        <v>166</v>
      </c>
      <c r="F43" s="19" t="s">
        <v>27</v>
      </c>
      <c r="G43" s="20">
        <f>'MEMÓRIA DE CÁLCULO'!G67</f>
        <v>113.18</v>
      </c>
      <c r="H43" s="20">
        <v>99.82</v>
      </c>
      <c r="I43" s="20">
        <f t="shared" si="14"/>
        <v>121.78</v>
      </c>
      <c r="J43" s="20">
        <f t="shared" si="15"/>
        <v>13783.06</v>
      </c>
    </row>
    <row r="44" spans="2:12" ht="43.2" x14ac:dyDescent="0.3">
      <c r="B44" s="19" t="s">
        <v>204</v>
      </c>
      <c r="C44" s="19" t="s">
        <v>24</v>
      </c>
      <c r="D44" s="19" t="s">
        <v>167</v>
      </c>
      <c r="E44" s="23" t="s">
        <v>168</v>
      </c>
      <c r="F44" s="19" t="s">
        <v>27</v>
      </c>
      <c r="G44" s="20">
        <f>'MEMÓRIA DE CÁLCULO'!G68</f>
        <v>54.81</v>
      </c>
      <c r="H44" s="20">
        <v>148.38</v>
      </c>
      <c r="I44" s="20">
        <f t="shared" si="14"/>
        <v>181.02</v>
      </c>
      <c r="J44" s="20">
        <f t="shared" si="15"/>
        <v>9921.7099999999991</v>
      </c>
    </row>
    <row r="45" spans="2:12" ht="28.8" x14ac:dyDescent="0.3">
      <c r="B45" s="19" t="s">
        <v>205</v>
      </c>
      <c r="C45" s="19" t="s">
        <v>24</v>
      </c>
      <c r="D45" s="19" t="s">
        <v>39</v>
      </c>
      <c r="E45" s="23" t="s">
        <v>54</v>
      </c>
      <c r="F45" s="19" t="s">
        <v>41</v>
      </c>
      <c r="G45" s="20">
        <f>'MEMÓRIA DE CÁLCULO'!G69</f>
        <v>76.11</v>
      </c>
      <c r="H45" s="20">
        <v>30.2</v>
      </c>
      <c r="I45" s="20">
        <f t="shared" si="14"/>
        <v>36.840000000000003</v>
      </c>
      <c r="J45" s="20">
        <f t="shared" si="15"/>
        <v>2803.89</v>
      </c>
    </row>
    <row r="46" spans="2:12" ht="43.2" x14ac:dyDescent="0.3">
      <c r="B46" s="19" t="s">
        <v>206</v>
      </c>
      <c r="C46" s="19" t="s">
        <v>24</v>
      </c>
      <c r="D46" s="19" t="s">
        <v>169</v>
      </c>
      <c r="E46" s="23" t="s">
        <v>170</v>
      </c>
      <c r="F46" s="19" t="s">
        <v>171</v>
      </c>
      <c r="G46" s="20">
        <f>'MEMÓRIA DE CÁLCULO'!G70</f>
        <v>4</v>
      </c>
      <c r="H46" s="20">
        <v>503.26</v>
      </c>
      <c r="I46" s="20">
        <f t="shared" si="14"/>
        <v>613.98</v>
      </c>
      <c r="J46" s="20">
        <f t="shared" si="15"/>
        <v>2455.92</v>
      </c>
    </row>
    <row r="47" spans="2:12" ht="28.8" x14ac:dyDescent="0.3">
      <c r="B47" s="19" t="s">
        <v>207</v>
      </c>
      <c r="C47" s="19" t="s">
        <v>24</v>
      </c>
      <c r="D47" s="19">
        <v>98050</v>
      </c>
      <c r="E47" s="23" t="s">
        <v>173</v>
      </c>
      <c r="F47" s="19" t="s">
        <v>27</v>
      </c>
      <c r="G47" s="20">
        <f>'MEMÓRIA DE CÁLCULO'!G71</f>
        <v>1.33</v>
      </c>
      <c r="H47" s="20">
        <v>291.47000000000003</v>
      </c>
      <c r="I47" s="20">
        <f t="shared" si="14"/>
        <v>355.59</v>
      </c>
      <c r="J47" s="20">
        <f t="shared" si="15"/>
        <v>472.93</v>
      </c>
    </row>
    <row r="48" spans="2:12" ht="28.8" x14ac:dyDescent="0.3">
      <c r="B48" s="19" t="s">
        <v>208</v>
      </c>
      <c r="C48" s="19" t="s">
        <v>24</v>
      </c>
      <c r="D48" s="19" t="s">
        <v>174</v>
      </c>
      <c r="E48" s="23" t="s">
        <v>175</v>
      </c>
      <c r="F48" s="19" t="s">
        <v>171</v>
      </c>
      <c r="G48" s="20">
        <f>'MEMÓRIA DE CÁLCULO'!G72</f>
        <v>4</v>
      </c>
      <c r="H48" s="20">
        <v>546.96</v>
      </c>
      <c r="I48" s="20">
        <f t="shared" si="14"/>
        <v>667.29</v>
      </c>
      <c r="J48" s="20">
        <f t="shared" si="15"/>
        <v>2669.16</v>
      </c>
    </row>
    <row r="49" spans="2:11" ht="57.6" x14ac:dyDescent="0.3">
      <c r="B49" s="19" t="s">
        <v>209</v>
      </c>
      <c r="C49" s="19" t="s">
        <v>64</v>
      </c>
      <c r="D49" s="19">
        <v>2</v>
      </c>
      <c r="E49" s="23" t="s">
        <v>177</v>
      </c>
      <c r="F49" s="19" t="s">
        <v>176</v>
      </c>
      <c r="G49" s="20">
        <f>'MEMÓRIA DE CÁLCULO'!G73</f>
        <v>9</v>
      </c>
      <c r="H49" s="20">
        <f>ROUND(COMPOSIÇÕES!H25,2)</f>
        <v>496.77</v>
      </c>
      <c r="I49" s="20">
        <f t="shared" si="14"/>
        <v>606.05999999999995</v>
      </c>
      <c r="J49" s="20">
        <f t="shared" si="15"/>
        <v>5454.54</v>
      </c>
    </row>
    <row r="50" spans="2:11" x14ac:dyDescent="0.3">
      <c r="B50" s="19"/>
      <c r="C50" s="19"/>
      <c r="D50" s="19"/>
      <c r="E50" s="23"/>
      <c r="F50" s="19"/>
      <c r="G50" s="20"/>
      <c r="H50" s="19"/>
      <c r="I50" s="20"/>
      <c r="J50" s="20"/>
    </row>
    <row r="51" spans="2:11" s="18" customFormat="1" x14ac:dyDescent="0.3">
      <c r="B51" s="142" t="s">
        <v>210</v>
      </c>
      <c r="C51" s="143"/>
      <c r="D51" s="144"/>
      <c r="E51" s="145" t="s">
        <v>178</v>
      </c>
      <c r="F51" s="146"/>
      <c r="G51" s="147"/>
      <c r="H51" s="148"/>
      <c r="I51" s="147"/>
      <c r="J51" s="149">
        <f>SUM(J52:J57)</f>
        <v>4024.34</v>
      </c>
      <c r="K51" s="17"/>
    </row>
    <row r="52" spans="2:11" x14ac:dyDescent="0.3">
      <c r="B52" s="141" t="s">
        <v>211</v>
      </c>
      <c r="C52" s="190" t="s">
        <v>24</v>
      </c>
      <c r="D52" s="190">
        <v>99064</v>
      </c>
      <c r="E52" s="23" t="s">
        <v>292</v>
      </c>
      <c r="F52" s="132" t="s">
        <v>27</v>
      </c>
      <c r="G52" s="20">
        <v>187.11</v>
      </c>
      <c r="H52" s="20">
        <v>0.64</v>
      </c>
      <c r="I52" s="20">
        <f t="shared" ref="I52" si="16">ROUND(H52*$J$11+H52,2)</f>
        <v>0.78</v>
      </c>
      <c r="J52" s="20">
        <f t="shared" ref="J52" si="17">ROUND(G52*I52,2)</f>
        <v>145.94999999999999</v>
      </c>
    </row>
    <row r="53" spans="2:11" x14ac:dyDescent="0.3">
      <c r="B53" s="141" t="s">
        <v>212</v>
      </c>
      <c r="C53" s="130" t="s">
        <v>24</v>
      </c>
      <c r="D53" s="131" t="s">
        <v>180</v>
      </c>
      <c r="E53" s="135" t="s">
        <v>181</v>
      </c>
      <c r="F53" s="132" t="s">
        <v>29</v>
      </c>
      <c r="G53" s="20">
        <f>'MEMÓRIA DE CÁLCULO'!G77</f>
        <v>534.57000000000005</v>
      </c>
      <c r="H53" s="134">
        <v>0.12</v>
      </c>
      <c r="I53" s="20">
        <f t="shared" ref="I53:I56" si="18">ROUND(H53*$J$11+H53,2)</f>
        <v>0.15</v>
      </c>
      <c r="J53" s="20">
        <f t="shared" ref="J53:J56" si="19">ROUND(G53*I53,2)</f>
        <v>80.19</v>
      </c>
    </row>
    <row r="54" spans="2:11" ht="43.2" x14ac:dyDescent="0.3">
      <c r="B54" s="141" t="s">
        <v>213</v>
      </c>
      <c r="C54" s="130" t="s">
        <v>24</v>
      </c>
      <c r="D54" s="131" t="s">
        <v>182</v>
      </c>
      <c r="E54" s="135" t="s">
        <v>183</v>
      </c>
      <c r="F54" s="132" t="s">
        <v>41</v>
      </c>
      <c r="G54" s="20">
        <f>'MEMÓRIA DE CÁLCULO'!G78</f>
        <v>80.19</v>
      </c>
      <c r="H54" s="134">
        <v>13.59</v>
      </c>
      <c r="I54" s="20">
        <f t="shared" si="18"/>
        <v>16.579999999999998</v>
      </c>
      <c r="J54" s="20">
        <f t="shared" si="19"/>
        <v>1329.55</v>
      </c>
    </row>
    <row r="55" spans="2:11" ht="28.8" x14ac:dyDescent="0.3">
      <c r="B55" s="141" t="s">
        <v>214</v>
      </c>
      <c r="C55" s="130" t="s">
        <v>24</v>
      </c>
      <c r="D55" s="131" t="s">
        <v>184</v>
      </c>
      <c r="E55" s="135" t="s">
        <v>185</v>
      </c>
      <c r="F55" s="132" t="s">
        <v>186</v>
      </c>
      <c r="G55" s="20">
        <f>'MEMÓRIA DE CÁLCULO'!G79</f>
        <v>649.5</v>
      </c>
      <c r="H55" s="134">
        <v>1.77</v>
      </c>
      <c r="I55" s="20">
        <f t="shared" si="18"/>
        <v>2.16</v>
      </c>
      <c r="J55" s="20">
        <f t="shared" si="19"/>
        <v>1402.92</v>
      </c>
    </row>
    <row r="56" spans="2:11" ht="57.6" x14ac:dyDescent="0.3">
      <c r="B56" s="141" t="s">
        <v>215</v>
      </c>
      <c r="C56" s="130" t="s">
        <v>24</v>
      </c>
      <c r="D56" s="131" t="s">
        <v>187</v>
      </c>
      <c r="E56" s="135" t="s">
        <v>188</v>
      </c>
      <c r="F56" s="132" t="s">
        <v>41</v>
      </c>
      <c r="G56" s="20">
        <f>'MEMÓRIA DE CÁLCULO'!G80</f>
        <v>80.19</v>
      </c>
      <c r="H56" s="134">
        <v>10.89</v>
      </c>
      <c r="I56" s="20">
        <f t="shared" si="18"/>
        <v>13.29</v>
      </c>
      <c r="J56" s="20">
        <f t="shared" si="19"/>
        <v>1065.73</v>
      </c>
    </row>
    <row r="57" spans="2:11" x14ac:dyDescent="0.3">
      <c r="B57" s="136"/>
      <c r="C57" s="136"/>
      <c r="D57" s="136"/>
      <c r="E57" s="136"/>
      <c r="F57" s="136"/>
      <c r="G57" s="136"/>
      <c r="H57" s="136"/>
      <c r="I57" s="136"/>
      <c r="J57" s="136"/>
    </row>
    <row r="58" spans="2:11" s="18" customFormat="1" x14ac:dyDescent="0.3">
      <c r="B58" s="142" t="s">
        <v>216</v>
      </c>
      <c r="C58" s="143"/>
      <c r="D58" s="144"/>
      <c r="E58" s="145" t="s">
        <v>189</v>
      </c>
      <c r="F58" s="146"/>
      <c r="G58" s="147"/>
      <c r="H58" s="148"/>
      <c r="I58" s="147"/>
      <c r="J58" s="149">
        <f>SUM(J59:J66)</f>
        <v>67353.509999999995</v>
      </c>
      <c r="K58" s="17"/>
    </row>
    <row r="59" spans="2:11" ht="43.2" x14ac:dyDescent="0.3">
      <c r="B59" s="141" t="s">
        <v>217</v>
      </c>
      <c r="C59" s="130" t="s">
        <v>24</v>
      </c>
      <c r="D59" s="131" t="s">
        <v>190</v>
      </c>
      <c r="E59" s="135" t="s">
        <v>191</v>
      </c>
      <c r="F59" s="132" t="s">
        <v>192</v>
      </c>
      <c r="G59" s="133">
        <f>'MEMÓRIA DE CÁLCULO'!G83</f>
        <v>200.46</v>
      </c>
      <c r="H59" s="134">
        <v>1.38</v>
      </c>
      <c r="I59" s="20">
        <f t="shared" ref="I59" si="20">ROUND(H59*$J$11+H59,2)</f>
        <v>1.68</v>
      </c>
      <c r="J59" s="20">
        <f t="shared" ref="J59" si="21">ROUND(G59*I59,2)</f>
        <v>336.77</v>
      </c>
    </row>
    <row r="60" spans="2:11" ht="43.2" x14ac:dyDescent="0.3">
      <c r="B60" s="141" t="s">
        <v>218</v>
      </c>
      <c r="C60" s="130" t="s">
        <v>24</v>
      </c>
      <c r="D60" s="131" t="s">
        <v>193</v>
      </c>
      <c r="E60" s="135" t="s">
        <v>194</v>
      </c>
      <c r="F60" s="132" t="s">
        <v>192</v>
      </c>
      <c r="G60" s="133">
        <f>'MEMÓRIA DE CÁLCULO'!G84</f>
        <v>1276.29</v>
      </c>
      <c r="H60" s="134">
        <v>0.53</v>
      </c>
      <c r="I60" s="20">
        <f t="shared" ref="I60:I65" si="22">ROUND(H60*$J$11+H60,2)</f>
        <v>0.65</v>
      </c>
      <c r="J60" s="20">
        <f t="shared" ref="J60:J65" si="23">ROUND(G60*I60,2)</f>
        <v>829.59</v>
      </c>
    </row>
    <row r="61" spans="2:11" ht="28.8" x14ac:dyDescent="0.3">
      <c r="B61" s="141" t="s">
        <v>219</v>
      </c>
      <c r="C61" s="130" t="s">
        <v>24</v>
      </c>
      <c r="D61" s="131" t="s">
        <v>184</v>
      </c>
      <c r="E61" s="135" t="s">
        <v>185</v>
      </c>
      <c r="F61" s="132" t="s">
        <v>186</v>
      </c>
      <c r="G61" s="133">
        <f>'MEMÓRIA DE CÁLCULO'!G85</f>
        <v>801.86</v>
      </c>
      <c r="H61" s="134">
        <v>1.77</v>
      </c>
      <c r="I61" s="20">
        <f t="shared" si="22"/>
        <v>2.16</v>
      </c>
      <c r="J61" s="20">
        <f t="shared" si="23"/>
        <v>1732.02</v>
      </c>
    </row>
    <row r="62" spans="2:11" ht="43.2" x14ac:dyDescent="0.3">
      <c r="B62" s="141" t="s">
        <v>220</v>
      </c>
      <c r="C62" s="130" t="s">
        <v>24</v>
      </c>
      <c r="D62" s="131" t="s">
        <v>195</v>
      </c>
      <c r="E62" s="135" t="s">
        <v>196</v>
      </c>
      <c r="F62" s="132" t="s">
        <v>186</v>
      </c>
      <c r="G62" s="133">
        <f>'MEMÓRIA DE CÁLCULO'!G86</f>
        <v>614.76</v>
      </c>
      <c r="H62" s="134">
        <v>0.72</v>
      </c>
      <c r="I62" s="20">
        <f t="shared" si="22"/>
        <v>0.88</v>
      </c>
      <c r="J62" s="20">
        <f t="shared" si="23"/>
        <v>540.99</v>
      </c>
    </row>
    <row r="63" spans="2:11" ht="28.8" x14ac:dyDescent="0.3">
      <c r="B63" s="141" t="s">
        <v>221</v>
      </c>
      <c r="C63" s="130" t="s">
        <v>121</v>
      </c>
      <c r="D63" s="131" t="s">
        <v>255</v>
      </c>
      <c r="E63" s="135" t="s">
        <v>256</v>
      </c>
      <c r="F63" s="132" t="s">
        <v>29</v>
      </c>
      <c r="G63" s="133">
        <f>'MEMÓRIA DE CÁLCULO'!G87</f>
        <v>534.57000000000005</v>
      </c>
      <c r="H63" s="134">
        <v>4.0999999999999996</v>
      </c>
      <c r="I63" s="20">
        <f t="shared" si="22"/>
        <v>5</v>
      </c>
      <c r="J63" s="20">
        <f t="shared" si="23"/>
        <v>2672.85</v>
      </c>
    </row>
    <row r="64" spans="2:11" ht="28.8" x14ac:dyDescent="0.3">
      <c r="B64" s="141" t="s">
        <v>222</v>
      </c>
      <c r="C64" s="130" t="s">
        <v>121</v>
      </c>
      <c r="D64" s="131" t="s">
        <v>257</v>
      </c>
      <c r="E64" s="135" t="s">
        <v>258</v>
      </c>
      <c r="F64" s="132" t="s">
        <v>29</v>
      </c>
      <c r="G64" s="133">
        <f>'MEMÓRIA DE CÁLCULO'!G88</f>
        <v>534.57000000000005</v>
      </c>
      <c r="H64" s="134">
        <v>2.1800000000000002</v>
      </c>
      <c r="I64" s="20">
        <f t="shared" si="22"/>
        <v>2.66</v>
      </c>
      <c r="J64" s="20">
        <f t="shared" si="23"/>
        <v>1421.96</v>
      </c>
    </row>
    <row r="65" spans="2:11" ht="43.2" x14ac:dyDescent="0.3">
      <c r="B65" s="141" t="s">
        <v>223</v>
      </c>
      <c r="C65" s="130" t="s">
        <v>24</v>
      </c>
      <c r="D65" s="131" t="s">
        <v>197</v>
      </c>
      <c r="E65" s="135" t="s">
        <v>198</v>
      </c>
      <c r="F65" s="132" t="s">
        <v>41</v>
      </c>
      <c r="G65" s="133">
        <f>'MEMÓRIA DE CÁLCULO'!G89</f>
        <v>26.73</v>
      </c>
      <c r="H65" s="134">
        <v>1834.35</v>
      </c>
      <c r="I65" s="20">
        <f t="shared" si="22"/>
        <v>2237.91</v>
      </c>
      <c r="J65" s="20">
        <f t="shared" si="23"/>
        <v>59819.33</v>
      </c>
    </row>
    <row r="66" spans="2:11" x14ac:dyDescent="0.3">
      <c r="B66" s="19"/>
      <c r="C66" s="19"/>
      <c r="D66" s="19"/>
      <c r="E66" s="23"/>
      <c r="F66" s="19"/>
      <c r="G66" s="133"/>
      <c r="H66" s="19"/>
      <c r="I66" s="20"/>
      <c r="J66" s="20"/>
    </row>
    <row r="67" spans="2:11" s="18" customFormat="1" x14ac:dyDescent="0.3">
      <c r="B67" s="142" t="s">
        <v>296</v>
      </c>
      <c r="C67" s="143"/>
      <c r="D67" s="144"/>
      <c r="E67" s="145" t="s">
        <v>300</v>
      </c>
      <c r="F67" s="146"/>
      <c r="G67" s="147"/>
      <c r="H67" s="148"/>
      <c r="I67" s="147"/>
      <c r="J67" s="149">
        <f>SUM(J68:J70)</f>
        <v>8555</v>
      </c>
      <c r="K67" s="17"/>
    </row>
    <row r="68" spans="2:11" ht="43.2" x14ac:dyDescent="0.3">
      <c r="B68" s="141" t="s">
        <v>299</v>
      </c>
      <c r="C68" s="130" t="s">
        <v>298</v>
      </c>
      <c r="D68" s="131" t="s">
        <v>297</v>
      </c>
      <c r="E68" s="135" t="s">
        <v>304</v>
      </c>
      <c r="F68" s="132" t="s">
        <v>27</v>
      </c>
      <c r="G68" s="133">
        <f>'MEMÓRIA DE CÁLCULO'!G92</f>
        <v>130.81</v>
      </c>
      <c r="H68" s="134">
        <f>COMPOSIÇÕES!H40</f>
        <v>44.56</v>
      </c>
      <c r="I68" s="20">
        <f t="shared" ref="I68" si="24">ROUND(H68*$J$11+H68,2)</f>
        <v>54.36</v>
      </c>
      <c r="J68" s="20">
        <f t="shared" ref="J68" si="25">ROUND(G68*I68,2)</f>
        <v>7110.83</v>
      </c>
    </row>
    <row r="69" spans="2:11" ht="57.6" x14ac:dyDescent="0.3">
      <c r="B69" s="141" t="s">
        <v>302</v>
      </c>
      <c r="C69" s="130" t="s">
        <v>24</v>
      </c>
      <c r="D69" s="131" t="s">
        <v>226</v>
      </c>
      <c r="E69" s="135" t="s">
        <v>240</v>
      </c>
      <c r="F69" s="132" t="s">
        <v>27</v>
      </c>
      <c r="G69" s="133">
        <f>'MEMÓRIA DE CÁLCULO'!G93</f>
        <v>17.25</v>
      </c>
      <c r="H69" s="134">
        <v>68.62</v>
      </c>
      <c r="I69" s="20">
        <f t="shared" ref="I69:I74" si="26">ROUND(H69*$J$11+H69,2)</f>
        <v>83.72</v>
      </c>
      <c r="J69" s="20">
        <f t="shared" ref="J69" si="27">ROUND(G69*I69,2)</f>
        <v>1444.17</v>
      </c>
    </row>
    <row r="70" spans="2:11" x14ac:dyDescent="0.3">
      <c r="B70" s="141"/>
      <c r="C70" s="130"/>
      <c r="D70" s="131"/>
      <c r="E70" s="135"/>
      <c r="F70" s="132"/>
      <c r="G70" s="133"/>
      <c r="H70" s="134"/>
      <c r="I70" s="20"/>
      <c r="J70" s="20"/>
    </row>
    <row r="71" spans="2:11" x14ac:dyDescent="0.3">
      <c r="B71" s="142" t="s">
        <v>316</v>
      </c>
      <c r="C71" s="202"/>
      <c r="D71" s="203"/>
      <c r="E71" s="145" t="s">
        <v>323</v>
      </c>
      <c r="F71" s="204"/>
      <c r="G71" s="205"/>
      <c r="H71" s="206"/>
      <c r="I71" s="140"/>
      <c r="J71" s="140">
        <f>SUM(J72:J75)</f>
        <v>3205.12</v>
      </c>
    </row>
    <row r="72" spans="2:11" ht="28.8" x14ac:dyDescent="0.3">
      <c r="B72" s="141" t="s">
        <v>318</v>
      </c>
      <c r="C72" s="130" t="s">
        <v>305</v>
      </c>
      <c r="D72" s="131" t="s">
        <v>306</v>
      </c>
      <c r="E72" s="135" t="s">
        <v>307</v>
      </c>
      <c r="F72" s="132" t="s">
        <v>29</v>
      </c>
      <c r="G72" s="207">
        <f>'MEMÓRIA DE CÁLCULO'!G96</f>
        <v>35.340000000000003</v>
      </c>
      <c r="H72" s="134">
        <v>17.760000000000002</v>
      </c>
      <c r="I72" s="20">
        <f t="shared" si="26"/>
        <v>21.67</v>
      </c>
      <c r="J72" s="20">
        <f t="shared" ref="J72:J74" si="28">ROUND(G72*I72,2)</f>
        <v>765.82</v>
      </c>
    </row>
    <row r="73" spans="2:11" ht="28.8" x14ac:dyDescent="0.3">
      <c r="B73" s="141" t="s">
        <v>319</v>
      </c>
      <c r="C73" s="130" t="s">
        <v>305</v>
      </c>
      <c r="D73" s="131" t="s">
        <v>308</v>
      </c>
      <c r="E73" s="135" t="s">
        <v>309</v>
      </c>
      <c r="F73" s="132" t="s">
        <v>310</v>
      </c>
      <c r="G73" s="207">
        <f>'MEMÓRIA DE CÁLCULO'!G97</f>
        <v>3</v>
      </c>
      <c r="H73" s="134">
        <v>219.79</v>
      </c>
      <c r="I73" s="20">
        <f t="shared" si="26"/>
        <v>268.14</v>
      </c>
      <c r="J73" s="20">
        <f t="shared" si="28"/>
        <v>804.42</v>
      </c>
    </row>
    <row r="74" spans="2:11" ht="43.2" x14ac:dyDescent="0.3">
      <c r="B74" s="141" t="s">
        <v>320</v>
      </c>
      <c r="C74" s="130" t="s">
        <v>305</v>
      </c>
      <c r="D74" s="131" t="s">
        <v>311</v>
      </c>
      <c r="E74" s="135" t="s">
        <v>312</v>
      </c>
      <c r="F74" s="132" t="s">
        <v>176</v>
      </c>
      <c r="G74" s="207">
        <f>'MEMÓRIA DE CÁLCULO'!G98</f>
        <v>3</v>
      </c>
      <c r="H74" s="134">
        <v>446.69</v>
      </c>
      <c r="I74" s="20">
        <f t="shared" si="26"/>
        <v>544.96</v>
      </c>
      <c r="J74" s="20">
        <f t="shared" si="28"/>
        <v>1634.88</v>
      </c>
    </row>
    <row r="75" spans="2:11" x14ac:dyDescent="0.3">
      <c r="B75" s="141"/>
      <c r="C75" s="130"/>
      <c r="D75" s="131"/>
      <c r="E75" s="135"/>
      <c r="F75" s="132"/>
      <c r="G75" s="133"/>
      <c r="H75" s="134"/>
      <c r="I75" s="20"/>
      <c r="J75" s="20"/>
    </row>
    <row r="76" spans="2:11" x14ac:dyDescent="0.3">
      <c r="B76" s="142" t="s">
        <v>317</v>
      </c>
      <c r="C76" s="202"/>
      <c r="D76" s="203"/>
      <c r="E76" s="145" t="s">
        <v>313</v>
      </c>
      <c r="F76" s="204"/>
      <c r="G76" s="205"/>
      <c r="H76" s="206"/>
      <c r="I76" s="140"/>
      <c r="J76" s="140">
        <f>SUM(J77:J79)</f>
        <v>11204.87</v>
      </c>
    </row>
    <row r="77" spans="2:11" x14ac:dyDescent="0.3">
      <c r="B77" s="141" t="s">
        <v>321</v>
      </c>
      <c r="C77" s="130" t="s">
        <v>24</v>
      </c>
      <c r="D77" s="131" t="s">
        <v>314</v>
      </c>
      <c r="E77" s="135" t="s">
        <v>315</v>
      </c>
      <c r="F77" s="132" t="s">
        <v>322</v>
      </c>
      <c r="G77" s="133">
        <f>'MEMÓRIA DE CÁLCULO'!G101</f>
        <v>1.1200000000000001</v>
      </c>
      <c r="H77" s="134">
        <v>8200.2900000000009</v>
      </c>
      <c r="I77" s="20">
        <f t="shared" ref="I77" si="29">ROUND(H77*$J$11+H77,2)</f>
        <v>10004.35</v>
      </c>
      <c r="J77" s="20">
        <f t="shared" ref="J77" si="30">ROUND(G77*I77,2)</f>
        <v>11204.87</v>
      </c>
    </row>
    <row r="78" spans="2:11" x14ac:dyDescent="0.3">
      <c r="B78" s="141"/>
      <c r="C78" s="130"/>
      <c r="D78" s="131"/>
      <c r="E78" s="201"/>
      <c r="F78" s="132"/>
      <c r="G78" s="133"/>
      <c r="H78" s="134"/>
      <c r="I78" s="20"/>
      <c r="J78" s="20"/>
    </row>
    <row r="79" spans="2:11" x14ac:dyDescent="0.3">
      <c r="B79" s="141"/>
      <c r="C79" s="130"/>
      <c r="D79" s="131"/>
      <c r="E79" s="201"/>
      <c r="F79" s="132"/>
      <c r="G79" s="133"/>
      <c r="H79" s="134"/>
      <c r="I79" s="20"/>
      <c r="J79" s="20"/>
    </row>
    <row r="83" spans="2:2" x14ac:dyDescent="0.3">
      <c r="B83" s="112" t="s">
        <v>330</v>
      </c>
    </row>
    <row r="87" spans="2:2" x14ac:dyDescent="0.3">
      <c r="B87" s="112" t="s">
        <v>331</v>
      </c>
    </row>
    <row r="88" spans="2:2" x14ac:dyDescent="0.3">
      <c r="B88" s="112" t="s">
        <v>333</v>
      </c>
    </row>
    <row r="89" spans="2:2" x14ac:dyDescent="0.3">
      <c r="B89" s="112" t="s">
        <v>332</v>
      </c>
    </row>
  </sheetData>
  <mergeCells count="4">
    <mergeCell ref="B9:J9"/>
    <mergeCell ref="B10:J10"/>
    <mergeCell ref="B7:J7"/>
    <mergeCell ref="B3:J3"/>
  </mergeCells>
  <conditionalFormatting sqref="E51 E53:E56 I51:J51 E58:E65 I58:J58 B51:B56 B58:B65">
    <cfRule type="expression" dxfId="131" priority="112" stopIfTrue="1">
      <formula>#REF!=1</formula>
    </cfRule>
    <cfRule type="expression" dxfId="130" priority="113" stopIfTrue="1">
      <formula>OR(#REF!=0,#REF!=2,#REF!=3,#REF!=4)</formula>
    </cfRule>
  </conditionalFormatting>
  <conditionalFormatting sqref="H51 H53:H56 H59:H65">
    <cfRule type="expression" dxfId="129" priority="114" stopIfTrue="1">
      <formula>#REF!=1</formula>
    </cfRule>
    <cfRule type="expression" dxfId="128" priority="115" stopIfTrue="1">
      <formula>OR(#REF!=0,#REF!=2,#REF!=3,#REF!=4)</formula>
    </cfRule>
    <cfRule type="expression" dxfId="127" priority="116" stopIfTrue="1">
      <formula>AND(TIPOORCAMENTO="Licitado",#REF!&lt;&gt;"L",#REF!&lt;&gt;-1)</formula>
    </cfRule>
  </conditionalFormatting>
  <conditionalFormatting sqref="C51:D51 C64:D64 C58:D62 F59:G59 F65 F52:F56 F60:F63 G60:G66">
    <cfRule type="expression" dxfId="126" priority="117" stopIfTrue="1">
      <formula>#REF!=1</formula>
    </cfRule>
    <cfRule type="expression" dxfId="125" priority="118" stopIfTrue="1">
      <formula>OR(#REF!=0,#REF!=2,#REF!=3,#REF!=4)</formula>
    </cfRule>
  </conditionalFormatting>
  <conditionalFormatting sqref="F51:G51">
    <cfRule type="expression" dxfId="124" priority="110" stopIfTrue="1">
      <formula>#REF!=1</formula>
    </cfRule>
    <cfRule type="expression" dxfId="123" priority="111" stopIfTrue="1">
      <formula>OR(#REF!=0,#REF!=2,#REF!=3,#REF!=4)</formula>
    </cfRule>
  </conditionalFormatting>
  <conditionalFormatting sqref="C53:D56">
    <cfRule type="expression" dxfId="122" priority="101" stopIfTrue="1">
      <formula>#REF!=1</formula>
    </cfRule>
    <cfRule type="expression" dxfId="121" priority="102" stopIfTrue="1">
      <formula>OR(#REF!=0,#REF!=2,#REF!=3,#REF!=4)</formula>
    </cfRule>
  </conditionalFormatting>
  <conditionalFormatting sqref="F64">
    <cfRule type="expression" dxfId="120" priority="99" stopIfTrue="1">
      <formula>#REF!=1</formula>
    </cfRule>
    <cfRule type="expression" dxfId="119" priority="100" stopIfTrue="1">
      <formula>OR(#REF!=0,#REF!=2,#REF!=3,#REF!=4)</formula>
    </cfRule>
  </conditionalFormatting>
  <conditionalFormatting sqref="H58">
    <cfRule type="expression" dxfId="118" priority="94" stopIfTrue="1">
      <formula>#REF!=1</formula>
    </cfRule>
    <cfRule type="expression" dxfId="117" priority="95" stopIfTrue="1">
      <formula>OR(#REF!=0,#REF!=2,#REF!=3,#REF!=4)</formula>
    </cfRule>
    <cfRule type="expression" dxfId="116" priority="96" stopIfTrue="1">
      <formula>AND(TIPOORCAMENTO="Licitado",#REF!&lt;&gt;"L",#REF!&lt;&gt;-1)</formula>
    </cfRule>
  </conditionalFormatting>
  <conditionalFormatting sqref="F58:G58">
    <cfRule type="expression" dxfId="115" priority="97" stopIfTrue="1">
      <formula>#REF!=1</formula>
    </cfRule>
    <cfRule type="expression" dxfId="114" priority="98" stopIfTrue="1">
      <formula>OR(#REF!=0,#REF!=2,#REF!=3,#REF!=4)</formula>
    </cfRule>
  </conditionalFormatting>
  <conditionalFormatting sqref="C65">
    <cfRule type="expression" dxfId="113" priority="92" stopIfTrue="1">
      <formula>#REF!=1</formula>
    </cfRule>
    <cfRule type="expression" dxfId="112" priority="93" stopIfTrue="1">
      <formula>OR(#REF!=0,#REF!=2,#REF!=3,#REF!=4)</formula>
    </cfRule>
  </conditionalFormatting>
  <conditionalFormatting sqref="D65 D68:D71 D77:D79">
    <cfRule type="expression" dxfId="111" priority="90" stopIfTrue="1">
      <formula>#REF!=1</formula>
    </cfRule>
    <cfRule type="expression" dxfId="110" priority="91" stopIfTrue="1">
      <formula>OR(#REF!=0,#REF!=2,#REF!=3,#REF!=4)</formula>
    </cfRule>
  </conditionalFormatting>
  <conditionalFormatting sqref="C63:D63">
    <cfRule type="expression" dxfId="109" priority="88" stopIfTrue="1">
      <formula>#REF!=1</formula>
    </cfRule>
    <cfRule type="expression" dxfId="108" priority="89" stopIfTrue="1">
      <formula>OR(#REF!=0,#REF!=2,#REF!=3,#REF!=4)</formula>
    </cfRule>
  </conditionalFormatting>
  <conditionalFormatting sqref="E67 I67:J67 B67">
    <cfRule type="expression" dxfId="107" priority="82" stopIfTrue="1">
      <formula>#REF!=1</formula>
    </cfRule>
    <cfRule type="expression" dxfId="106" priority="83" stopIfTrue="1">
      <formula>OR(#REF!=0,#REF!=2,#REF!=3,#REF!=4)</formula>
    </cfRule>
  </conditionalFormatting>
  <conditionalFormatting sqref="C67:D67">
    <cfRule type="expression" dxfId="105" priority="84" stopIfTrue="1">
      <formula>#REF!=1</formula>
    </cfRule>
    <cfRule type="expression" dxfId="104" priority="85" stopIfTrue="1">
      <formula>OR(#REF!=0,#REF!=2,#REF!=3,#REF!=4)</formula>
    </cfRule>
  </conditionalFormatting>
  <conditionalFormatting sqref="H67">
    <cfRule type="expression" dxfId="103" priority="77" stopIfTrue="1">
      <formula>#REF!=1</formula>
    </cfRule>
    <cfRule type="expression" dxfId="102" priority="78" stopIfTrue="1">
      <formula>OR(#REF!=0,#REF!=2,#REF!=3,#REF!=4)</formula>
    </cfRule>
    <cfRule type="expression" dxfId="101" priority="79" stopIfTrue="1">
      <formula>AND(TIPOORCAMENTO="Licitado",#REF!&lt;&gt;"L",#REF!&lt;&gt;-1)</formula>
    </cfRule>
  </conditionalFormatting>
  <conditionalFormatting sqref="F67:G67">
    <cfRule type="expression" dxfId="100" priority="80" stopIfTrue="1">
      <formula>#REF!=1</formula>
    </cfRule>
    <cfRule type="expression" dxfId="99" priority="81" stopIfTrue="1">
      <formula>OR(#REF!=0,#REF!=2,#REF!=3,#REF!=4)</formula>
    </cfRule>
  </conditionalFormatting>
  <conditionalFormatting sqref="E68:E71 B77:B79 B68:B74 E78:E79">
    <cfRule type="expression" dxfId="98" priority="70" stopIfTrue="1">
      <formula>#REF!=1</formula>
    </cfRule>
    <cfRule type="expression" dxfId="97" priority="71" stopIfTrue="1">
      <formula>OR(#REF!=0,#REF!=2,#REF!=3,#REF!=4)</formula>
    </cfRule>
  </conditionalFormatting>
  <conditionalFormatting sqref="H68:H71 H77:H79">
    <cfRule type="expression" dxfId="96" priority="72" stopIfTrue="1">
      <formula>#REF!=1</formula>
    </cfRule>
    <cfRule type="expression" dxfId="95" priority="73" stopIfTrue="1">
      <formula>OR(#REF!=0,#REF!=2,#REF!=3,#REF!=4)</formula>
    </cfRule>
    <cfRule type="expression" dxfId="94" priority="74" stopIfTrue="1">
      <formula>AND(TIPOORCAMENTO="Licitado",#REF!&lt;&gt;"L",#REF!&lt;&gt;-1)</formula>
    </cfRule>
  </conditionalFormatting>
  <conditionalFormatting sqref="F68:G71 F77:G79">
    <cfRule type="expression" dxfId="93" priority="75" stopIfTrue="1">
      <formula>#REF!=1</formula>
    </cfRule>
    <cfRule type="expression" dxfId="92" priority="76" stopIfTrue="1">
      <formula>OR(#REF!=0,#REF!=2,#REF!=3,#REF!=4)</formula>
    </cfRule>
  </conditionalFormatting>
  <conditionalFormatting sqref="C77:C79 C68:C74">
    <cfRule type="expression" dxfId="91" priority="68" stopIfTrue="1">
      <formula>#REF!=1</formula>
    </cfRule>
    <cfRule type="expression" dxfId="90" priority="69" stopIfTrue="1">
      <formula>OR(#REF!=0,#REF!=2,#REF!=3,#REF!=4)</formula>
    </cfRule>
  </conditionalFormatting>
  <conditionalFormatting sqref="E77 E74 E72">
    <cfRule type="expression" dxfId="89" priority="64" stopIfTrue="1">
      <formula>$C72=1</formula>
    </cfRule>
    <cfRule type="expression" dxfId="88" priority="65" stopIfTrue="1">
      <formula>OR($C72=0,$C72=2,$C72=3,$C72=4)</formula>
    </cfRule>
  </conditionalFormatting>
  <conditionalFormatting sqref="E73">
    <cfRule type="expression" dxfId="87" priority="58" stopIfTrue="1">
      <formula>$C73=1</formula>
    </cfRule>
    <cfRule type="expression" dxfId="86" priority="59" stopIfTrue="1">
      <formula>OR($C73=0,$C73=2,$C73=3,$C73=4)</formula>
    </cfRule>
  </conditionalFormatting>
  <conditionalFormatting sqref="D76">
    <cfRule type="expression" dxfId="85" priority="54" stopIfTrue="1">
      <formula>#REF!=1</formula>
    </cfRule>
    <cfRule type="expression" dxfId="84" priority="55" stopIfTrue="1">
      <formula>OR(#REF!=0,#REF!=2,#REF!=3,#REF!=4)</formula>
    </cfRule>
  </conditionalFormatting>
  <conditionalFormatting sqref="E76 B76">
    <cfRule type="expression" dxfId="83" priority="47" stopIfTrue="1">
      <formula>#REF!=1</formula>
    </cfRule>
    <cfRule type="expression" dxfId="82" priority="48" stopIfTrue="1">
      <formula>OR(#REF!=0,#REF!=2,#REF!=3,#REF!=4)</formula>
    </cfRule>
  </conditionalFormatting>
  <conditionalFormatting sqref="H76">
    <cfRule type="expression" dxfId="81" priority="49" stopIfTrue="1">
      <formula>#REF!=1</formula>
    </cfRule>
    <cfRule type="expression" dxfId="80" priority="50" stopIfTrue="1">
      <formula>OR(#REF!=0,#REF!=2,#REF!=3,#REF!=4)</formula>
    </cfRule>
    <cfRule type="expression" dxfId="79" priority="51" stopIfTrue="1">
      <formula>AND(TIPOORCAMENTO="Licitado",#REF!&lt;&gt;"L",#REF!&lt;&gt;-1)</formula>
    </cfRule>
  </conditionalFormatting>
  <conditionalFormatting sqref="F76:G76">
    <cfRule type="expression" dxfId="78" priority="52" stopIfTrue="1">
      <formula>#REF!=1</formula>
    </cfRule>
    <cfRule type="expression" dxfId="77" priority="53" stopIfTrue="1">
      <formula>OR(#REF!=0,#REF!=2,#REF!=3,#REF!=4)</formula>
    </cfRule>
  </conditionalFormatting>
  <conditionalFormatting sqref="C76">
    <cfRule type="expression" dxfId="76" priority="45" stopIfTrue="1">
      <formula>#REF!=1</formula>
    </cfRule>
    <cfRule type="expression" dxfId="75" priority="46" stopIfTrue="1">
      <formula>OR(#REF!=0,#REF!=2,#REF!=3,#REF!=4)</formula>
    </cfRule>
  </conditionalFormatting>
  <conditionalFormatting sqref="D74">
    <cfRule type="expression" dxfId="74" priority="35" stopIfTrue="1">
      <formula>$C74=1</formula>
    </cfRule>
    <cfRule type="expression" dxfId="73" priority="36" stopIfTrue="1">
      <formula>OR($C74=0,$C74=2,$C74=3,$C74=4)</formula>
    </cfRule>
  </conditionalFormatting>
  <conditionalFormatting sqref="D72">
    <cfRule type="expression" dxfId="72" priority="41" stopIfTrue="1">
      <formula>$C72=1</formula>
    </cfRule>
    <cfRule type="expression" dxfId="71" priority="42" stopIfTrue="1">
      <formula>OR($C72=0,$C72=2,$C72=3,$C72=4)</formula>
    </cfRule>
  </conditionalFormatting>
  <conditionalFormatting sqref="D73">
    <cfRule type="expression" dxfId="70" priority="37" stopIfTrue="1">
      <formula>$C73=1</formula>
    </cfRule>
    <cfRule type="expression" dxfId="69" priority="38" stopIfTrue="1">
      <formula>OR($C73=0,$C73=2,$C73=3,$C73=4)</formula>
    </cfRule>
  </conditionalFormatting>
  <conditionalFormatting sqref="D75">
    <cfRule type="expression" dxfId="68" priority="33" stopIfTrue="1">
      <formula>#REF!=1</formula>
    </cfRule>
    <cfRule type="expression" dxfId="67" priority="34" stopIfTrue="1">
      <formula>OR(#REF!=0,#REF!=2,#REF!=3,#REF!=4)</formula>
    </cfRule>
  </conditionalFormatting>
  <conditionalFormatting sqref="E75 B75">
    <cfRule type="expression" dxfId="66" priority="26" stopIfTrue="1">
      <formula>#REF!=1</formula>
    </cfRule>
    <cfRule type="expression" dxfId="65" priority="27" stopIfTrue="1">
      <formula>OR(#REF!=0,#REF!=2,#REF!=3,#REF!=4)</formula>
    </cfRule>
  </conditionalFormatting>
  <conditionalFormatting sqref="H75">
    <cfRule type="expression" dxfId="64" priority="28" stopIfTrue="1">
      <formula>#REF!=1</formula>
    </cfRule>
    <cfRule type="expression" dxfId="63" priority="29" stopIfTrue="1">
      <formula>OR(#REF!=0,#REF!=2,#REF!=3,#REF!=4)</formula>
    </cfRule>
    <cfRule type="expression" dxfId="62" priority="30" stopIfTrue="1">
      <formula>AND(TIPOORCAMENTO="Licitado",#REF!&lt;&gt;"L",#REF!&lt;&gt;-1)</formula>
    </cfRule>
  </conditionalFormatting>
  <conditionalFormatting sqref="F75:G75">
    <cfRule type="expression" dxfId="61" priority="31" stopIfTrue="1">
      <formula>#REF!=1</formula>
    </cfRule>
    <cfRule type="expression" dxfId="60" priority="32" stopIfTrue="1">
      <formula>OR(#REF!=0,#REF!=2,#REF!=3,#REF!=4)</formula>
    </cfRule>
  </conditionalFormatting>
  <conditionalFormatting sqref="C75">
    <cfRule type="expression" dxfId="59" priority="24" stopIfTrue="1">
      <formula>#REF!=1</formula>
    </cfRule>
    <cfRule type="expression" dxfId="58" priority="25" stopIfTrue="1">
      <formula>OR(#REF!=0,#REF!=2,#REF!=3,#REF!=4)</formula>
    </cfRule>
  </conditionalFormatting>
  <conditionalFormatting sqref="G72:G74">
    <cfRule type="expression" dxfId="57" priority="20" stopIfTrue="1">
      <formula>$C72=1</formula>
    </cfRule>
    <cfRule type="expression" dxfId="56" priority="21" stopIfTrue="1">
      <formula>OR($C72=0,$C72=2,$C72=3,$C72=4)</formula>
    </cfRule>
  </conditionalFormatting>
  <conditionalFormatting sqref="F72">
    <cfRule type="expression" dxfId="55" priority="10" stopIfTrue="1">
      <formula>$C72=1</formula>
    </cfRule>
    <cfRule type="expression" dxfId="54" priority="11" stopIfTrue="1">
      <formula>OR($C72=0,$C72=2,$C72=3,$C72=4)</formula>
    </cfRule>
  </conditionalFormatting>
  <conditionalFormatting sqref="F73">
    <cfRule type="expression" dxfId="53" priority="6" stopIfTrue="1">
      <formula>$C73=1</formula>
    </cfRule>
    <cfRule type="expression" dxfId="52" priority="7" stopIfTrue="1">
      <formula>OR($C73=0,$C73=2,$C73=3,$C73=4)</formula>
    </cfRule>
  </conditionalFormatting>
  <conditionalFormatting sqref="F74">
    <cfRule type="expression" dxfId="51" priority="4" stopIfTrue="1">
      <formula>$C74=1</formula>
    </cfRule>
    <cfRule type="expression" dxfId="50" priority="5" stopIfTrue="1">
      <formula>OR($C74=0,$C74=2,$C74=3,$C74=4)</formula>
    </cfRule>
  </conditionalFormatting>
  <conditionalFormatting sqref="H72:H74">
    <cfRule type="expression" dxfId="49" priority="1" stopIfTrue="1">
      <formula>$C72=1</formula>
    </cfRule>
    <cfRule type="expression" dxfId="48" priority="2" stopIfTrue="1">
      <formula>OR($C72=0,$C72=2,$C72=3,$C72=4)</formula>
    </cfRule>
    <cfRule type="expression" dxfId="47" priority="3" stopIfTrue="1">
      <formula>AND(TIPOORCAMENTO="Licitado",$C72&lt;&gt;"L",$C72&lt;&gt;-1)</formula>
    </cfRule>
  </conditionalFormatting>
  <dataValidations count="4">
    <dataValidation type="decimal" operator="greaterThan" allowBlank="1" showErrorMessage="1" error="Apenas números decimais maiores que zero." sqref="H58:H65 H51 H53:H56 H67:H79" xr:uid="{963DBFF2-1B98-46C4-BB9E-E4AD3CB4F431}">
      <formula1>0</formula1>
      <formula2>0</formula2>
    </dataValidation>
    <dataValidation type="list" allowBlank="1" sqref="C58:C65 C51 C53:C56 C67:C79" xr:uid="{CAC950A9-5C14-438E-85EE-2E5A03511512}">
      <formula1>"SINAPI,SINAPI-I,SICRO,Composição,Cotação"</formula1>
      <formula2>0</formula2>
    </dataValidation>
    <dataValidation allowBlank="1" showInputMessage="1" showErrorMessage="1" prompt="A entrada de quantidades é feita na coluna AJ se acompanhamento por BM, ou na aba &quot;Memória de Cálculo/PLQ&quot; se acompanhamento por PLE." sqref="G51 G58:G71 G75:G79" xr:uid="{FC0F7C74-7D5F-4A58-8BD1-1769EAE13CA3}"/>
    <dataValidation allowBlank="1" showInputMessage="1" showErrorMessage="1" prompt="Para Orçamento Proposto, o Preço Unitário é resultado do produto do Custo Unitário pelo BDI._x000a_Para Orçamento Licitado, deve ser preenchido na Coluna AL." sqref="I51 I58 I67" xr:uid="{0D2A64F2-12DC-446C-B3FE-AF7E0BE9F921}"/>
  </dataValidations>
  <pageMargins left="0.51181102362204722" right="0.51181102362204722" top="0.78740157480314965" bottom="0.78740157480314965" header="0.31496062992125984" footer="0.31496062992125984"/>
  <pageSetup paperSize="9" scale="75" orientation="landscape" horizontalDpi="360" verticalDpi="360" r:id="rId1"/>
  <headerFooter>
    <oddFooter xml:space="preserve">&amp;C&amp;P/&amp;N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15DF8-997E-4610-A8CE-9C41609379AF}">
  <dimension ref="B3:O112"/>
  <sheetViews>
    <sheetView topLeftCell="A100" zoomScaleNormal="100" workbookViewId="0">
      <selection activeCell="E8" sqref="E8"/>
    </sheetView>
  </sheetViews>
  <sheetFormatPr defaultRowHeight="14.4" x14ac:dyDescent="0.3"/>
  <cols>
    <col min="2" max="2" width="8.88671875" style="15"/>
    <col min="3" max="3" width="12.33203125" style="15" customWidth="1"/>
    <col min="4" max="4" width="8.88671875" style="15"/>
    <col min="5" max="5" width="62.109375" style="14" customWidth="1"/>
    <col min="6" max="6" width="8.88671875" style="15"/>
    <col min="7" max="7" width="10.77734375" style="16" customWidth="1"/>
    <col min="8" max="8" width="12.21875" style="15" customWidth="1"/>
    <col min="9" max="9" width="12.33203125" style="16" customWidth="1"/>
    <col min="10" max="10" width="14.33203125" style="16" customWidth="1"/>
    <col min="11" max="11" width="8.88671875" style="15"/>
    <col min="12" max="12" width="7.77734375" bestFit="1" customWidth="1"/>
    <col min="13" max="15" width="8.88671875" style="15"/>
  </cols>
  <sheetData>
    <row r="3" spans="2:15" ht="33.6" x14ac:dyDescent="0.3">
      <c r="B3" s="314" t="str">
        <f>'PLANILHA ORÇAMENTÁRIA'!B3</f>
        <v>TIMBRADO LICITANTE</v>
      </c>
      <c r="C3" s="314"/>
      <c r="D3" s="314"/>
      <c r="E3" s="314"/>
      <c r="F3" s="314"/>
      <c r="G3" s="314"/>
      <c r="H3" s="314"/>
      <c r="I3" s="314"/>
      <c r="J3" s="314"/>
    </row>
    <row r="7" spans="2:15" ht="23.4" x14ac:dyDescent="0.3">
      <c r="B7" s="213" t="s">
        <v>127</v>
      </c>
      <c r="C7" s="213"/>
      <c r="D7" s="213"/>
      <c r="E7" s="213"/>
      <c r="F7" s="213"/>
      <c r="G7" s="213"/>
      <c r="H7" s="213"/>
      <c r="I7" s="213"/>
      <c r="J7" s="213"/>
    </row>
    <row r="9" spans="2:15" s="44" customFormat="1" x14ac:dyDescent="0.3">
      <c r="B9" s="212" t="str">
        <f>'PLANILHA ORÇAMENTÁRIA'!B9:J9</f>
        <v>OBJETO: EXECUÇÃO DE OBRAS DE INFRAESTRUTURA EM VIA URBANA</v>
      </c>
      <c r="C9" s="212"/>
      <c r="D9" s="212"/>
      <c r="E9" s="212"/>
      <c r="F9" s="212"/>
      <c r="G9" s="212"/>
      <c r="H9" s="212"/>
      <c r="I9" s="212"/>
      <c r="J9" s="212"/>
      <c r="K9" s="43"/>
      <c r="M9" s="43"/>
      <c r="N9" s="43"/>
      <c r="O9" s="43"/>
    </row>
    <row r="10" spans="2:15" s="44" customFormat="1" ht="14.4" customHeight="1" x14ac:dyDescent="0.3">
      <c r="B10" s="212" t="str">
        <f>'PLANILHA ORÇAMENTÁRIA'!B10:J10</f>
        <v>LOCAL: AV. BIAS FORTES, CENTRO, IBERTIOGA-MG</v>
      </c>
      <c r="C10" s="212"/>
      <c r="D10" s="212"/>
      <c r="E10" s="212"/>
      <c r="F10" s="212"/>
      <c r="G10" s="212"/>
      <c r="H10" s="212"/>
      <c r="I10" s="212"/>
      <c r="J10" s="212"/>
      <c r="K10" s="43"/>
      <c r="M10" s="43"/>
      <c r="N10" s="43"/>
      <c r="O10" s="43"/>
    </row>
    <row r="11" spans="2:15" s="44" customFormat="1" x14ac:dyDescent="0.3">
      <c r="B11" s="43"/>
      <c r="C11" s="43"/>
      <c r="D11" s="43"/>
      <c r="E11" s="46"/>
      <c r="F11" s="43"/>
      <c r="G11" s="47"/>
      <c r="H11" s="43"/>
      <c r="I11" s="47"/>
      <c r="J11" s="47"/>
      <c r="K11" s="43"/>
      <c r="M11" s="43"/>
      <c r="N11" s="43"/>
      <c r="O11" s="43"/>
    </row>
    <row r="12" spans="2:15" ht="43.2" customHeight="1" x14ac:dyDescent="0.3">
      <c r="B12" s="19" t="s">
        <v>56</v>
      </c>
      <c r="C12" s="19" t="s">
        <v>57</v>
      </c>
      <c r="D12" s="19" t="s">
        <v>58</v>
      </c>
      <c r="E12" s="19" t="s">
        <v>59</v>
      </c>
      <c r="F12" s="19" t="s">
        <v>60</v>
      </c>
      <c r="G12" s="20" t="s">
        <v>61</v>
      </c>
      <c r="H12" s="227" t="s">
        <v>128</v>
      </c>
      <c r="I12" s="228"/>
      <c r="J12" s="229"/>
    </row>
    <row r="13" spans="2:15" x14ac:dyDescent="0.3">
      <c r="B13" s="19"/>
      <c r="C13" s="19"/>
      <c r="D13" s="19"/>
      <c r="E13" s="23"/>
      <c r="F13" s="19"/>
      <c r="G13" s="20"/>
      <c r="H13" s="227"/>
      <c r="I13" s="228"/>
      <c r="J13" s="229"/>
    </row>
    <row r="14" spans="2:15" s="18" customFormat="1" x14ac:dyDescent="0.3">
      <c r="B14" s="125">
        <v>1</v>
      </c>
      <c r="C14" s="125"/>
      <c r="D14" s="125"/>
      <c r="E14" s="126" t="s">
        <v>108</v>
      </c>
      <c r="F14" s="125"/>
      <c r="G14" s="127"/>
      <c r="H14" s="224"/>
      <c r="I14" s="225"/>
      <c r="J14" s="226"/>
      <c r="K14" s="17"/>
      <c r="M14" s="17"/>
      <c r="N14" s="17"/>
      <c r="O14" s="17"/>
    </row>
    <row r="15" spans="2:15" s="18" customFormat="1" x14ac:dyDescent="0.3">
      <c r="B15" s="121"/>
      <c r="C15" s="121"/>
      <c r="D15" s="121"/>
      <c r="E15" s="122"/>
      <c r="F15" s="121"/>
      <c r="G15" s="123"/>
      <c r="H15" s="214"/>
      <c r="I15" s="215"/>
      <c r="J15" s="216"/>
      <c r="K15" s="17"/>
      <c r="M15" s="17"/>
      <c r="N15" s="17"/>
      <c r="O15" s="17"/>
    </row>
    <row r="16" spans="2:15" s="18" customFormat="1" x14ac:dyDescent="0.3">
      <c r="B16" s="40" t="s">
        <v>70</v>
      </c>
      <c r="C16" s="40"/>
      <c r="D16" s="40"/>
      <c r="E16" s="41" t="s">
        <v>107</v>
      </c>
      <c r="F16" s="40"/>
      <c r="G16" s="42"/>
      <c r="H16" s="217"/>
      <c r="I16" s="218"/>
      <c r="J16" s="219"/>
      <c r="K16" s="17"/>
      <c r="M16" s="17"/>
      <c r="N16" s="17"/>
      <c r="O16" s="17"/>
    </row>
    <row r="17" spans="2:15" x14ac:dyDescent="0.3">
      <c r="B17" s="19" t="s">
        <v>109</v>
      </c>
      <c r="C17" s="19" t="s">
        <v>64</v>
      </c>
      <c r="D17" s="19">
        <v>1</v>
      </c>
      <c r="E17" s="23" t="s">
        <v>28</v>
      </c>
      <c r="F17" s="19" t="s">
        <v>29</v>
      </c>
      <c r="G17" s="20">
        <f>ROUND(M17,2)</f>
        <v>4.5</v>
      </c>
      <c r="H17" s="220" t="s">
        <v>129</v>
      </c>
      <c r="I17" s="221"/>
      <c r="J17" s="222"/>
      <c r="M17" s="220">
        <f>1.5*3</f>
        <v>4.5</v>
      </c>
      <c r="N17" s="221"/>
      <c r="O17" s="222"/>
    </row>
    <row r="18" spans="2:15" ht="28.8" x14ac:dyDescent="0.3">
      <c r="B18" s="19" t="s">
        <v>110</v>
      </c>
      <c r="C18" s="19" t="s">
        <v>64</v>
      </c>
      <c r="D18" s="19">
        <v>2</v>
      </c>
      <c r="E18" s="23" t="s">
        <v>36</v>
      </c>
      <c r="F18" s="19" t="s">
        <v>27</v>
      </c>
      <c r="G18" s="20">
        <f t="shared" ref="G18:G43" si="0">ROUND(M18,2)</f>
        <v>737.5</v>
      </c>
      <c r="H18" s="220" t="s">
        <v>156</v>
      </c>
      <c r="I18" s="221"/>
      <c r="J18" s="222"/>
      <c r="M18" s="220">
        <f>G42+G43+G44+G45</f>
        <v>737.5</v>
      </c>
      <c r="N18" s="221"/>
      <c r="O18" s="222"/>
    </row>
    <row r="19" spans="2:15" ht="57.6" x14ac:dyDescent="0.3">
      <c r="B19" s="19" t="s">
        <v>111</v>
      </c>
      <c r="C19" s="19" t="s">
        <v>24</v>
      </c>
      <c r="D19" s="19" t="s">
        <v>40</v>
      </c>
      <c r="E19" s="23" t="s">
        <v>55</v>
      </c>
      <c r="F19" s="19" t="s">
        <v>41</v>
      </c>
      <c r="G19" s="20">
        <f>SUM(G20:G20)</f>
        <v>112.32</v>
      </c>
      <c r="H19" s="223"/>
      <c r="I19" s="221"/>
      <c r="J19" s="222"/>
    </row>
    <row r="20" spans="2:15" x14ac:dyDescent="0.3">
      <c r="B20" s="19"/>
      <c r="C20" s="19"/>
      <c r="D20" s="19"/>
      <c r="E20" s="129" t="s">
        <v>138</v>
      </c>
      <c r="F20" s="19"/>
      <c r="G20" s="20">
        <f t="shared" si="0"/>
        <v>112.32</v>
      </c>
      <c r="H20" s="220" t="s">
        <v>157</v>
      </c>
      <c r="I20" s="221"/>
      <c r="J20" s="222"/>
      <c r="M20" s="220">
        <f>G42*0.6*((1+1.4)/2)</f>
        <v>112.32</v>
      </c>
      <c r="N20" s="221"/>
      <c r="O20" s="222"/>
    </row>
    <row r="21" spans="2:15" x14ac:dyDescent="0.3">
      <c r="B21" s="19"/>
      <c r="C21" s="19"/>
      <c r="D21" s="19"/>
      <c r="E21" s="23"/>
      <c r="F21" s="19"/>
      <c r="G21" s="20"/>
      <c r="H21" s="223"/>
      <c r="I21" s="221"/>
      <c r="J21" s="222"/>
    </row>
    <row r="22" spans="2:15" ht="57.6" x14ac:dyDescent="0.3">
      <c r="B22" s="19" t="s">
        <v>112</v>
      </c>
      <c r="C22" s="19" t="s">
        <v>24</v>
      </c>
      <c r="D22" s="19">
        <v>90106</v>
      </c>
      <c r="E22" s="113" t="s">
        <v>147</v>
      </c>
      <c r="F22" s="19" t="s">
        <v>41</v>
      </c>
      <c r="G22" s="20">
        <f>SUM(G23:G24)</f>
        <v>528.58000000000004</v>
      </c>
      <c r="H22" s="223"/>
      <c r="I22" s="221"/>
      <c r="J22" s="222"/>
      <c r="L22" s="114">
        <f>L19*1.1*1.8</f>
        <v>0</v>
      </c>
    </row>
    <row r="23" spans="2:15" ht="14.4" customHeight="1" x14ac:dyDescent="0.3">
      <c r="B23" s="19"/>
      <c r="C23" s="19"/>
      <c r="D23" s="19"/>
      <c r="E23" s="129" t="s">
        <v>139</v>
      </c>
      <c r="F23" s="19"/>
      <c r="G23" s="20">
        <f t="shared" si="0"/>
        <v>420</v>
      </c>
      <c r="H23" s="233" t="s">
        <v>151</v>
      </c>
      <c r="I23" s="234"/>
      <c r="J23" s="235"/>
      <c r="M23" s="220">
        <f>(44+46+7+8.5+45+7+4+48.5+57+5+28)*1*1.4</f>
        <v>420</v>
      </c>
      <c r="N23" s="221"/>
      <c r="O23" s="222"/>
    </row>
    <row r="24" spans="2:15" x14ac:dyDescent="0.3">
      <c r="B24" s="19"/>
      <c r="C24" s="19"/>
      <c r="D24" s="19"/>
      <c r="E24" s="129" t="s">
        <v>139</v>
      </c>
      <c r="F24" s="19"/>
      <c r="G24" s="20">
        <f t="shared" si="0"/>
        <v>108.58</v>
      </c>
      <c r="H24" s="233" t="s">
        <v>140</v>
      </c>
      <c r="I24" s="234"/>
      <c r="J24" s="235"/>
      <c r="M24" s="220">
        <f>(46.5+4)*1*((1.4+1.5/2))</f>
        <v>108.57499999999999</v>
      </c>
      <c r="N24" s="221"/>
      <c r="O24" s="222"/>
    </row>
    <row r="25" spans="2:15" x14ac:dyDescent="0.3">
      <c r="B25" s="19"/>
      <c r="C25" s="19"/>
      <c r="D25" s="19"/>
      <c r="E25" s="129"/>
      <c r="F25" s="19"/>
      <c r="G25" s="20"/>
      <c r="H25" s="223"/>
      <c r="I25" s="221"/>
      <c r="J25" s="222"/>
      <c r="M25" s="223"/>
      <c r="N25" s="221"/>
      <c r="O25" s="222"/>
    </row>
    <row r="26" spans="2:15" ht="72" x14ac:dyDescent="0.3">
      <c r="B26" s="19" t="s">
        <v>113</v>
      </c>
      <c r="C26" s="19" t="s">
        <v>24</v>
      </c>
      <c r="D26" s="19">
        <v>90108</v>
      </c>
      <c r="E26" s="113" t="s">
        <v>148</v>
      </c>
      <c r="F26" s="19" t="s">
        <v>41</v>
      </c>
      <c r="G26" s="20">
        <f>SUM(G27:G30)</f>
        <v>722.53</v>
      </c>
      <c r="H26" s="223"/>
      <c r="I26" s="221"/>
      <c r="J26" s="222"/>
      <c r="M26" s="223"/>
      <c r="N26" s="221"/>
      <c r="O26" s="222"/>
    </row>
    <row r="27" spans="2:15" x14ac:dyDescent="0.3">
      <c r="B27" s="19"/>
      <c r="C27" s="19"/>
      <c r="D27" s="19"/>
      <c r="E27" s="129" t="s">
        <v>141</v>
      </c>
      <c r="F27" s="19"/>
      <c r="G27" s="20">
        <f t="shared" si="0"/>
        <v>189.61</v>
      </c>
      <c r="H27" s="233" t="s">
        <v>142</v>
      </c>
      <c r="I27" s="234"/>
      <c r="J27" s="235"/>
      <c r="M27" s="220">
        <f>69*1.2*((1.5+1.58/2))</f>
        <v>189.61199999999999</v>
      </c>
      <c r="N27" s="221"/>
      <c r="O27" s="222"/>
    </row>
    <row r="28" spans="2:15" x14ac:dyDescent="0.3">
      <c r="B28" s="19"/>
      <c r="C28" s="19"/>
      <c r="D28" s="19"/>
      <c r="E28" s="129" t="s">
        <v>141</v>
      </c>
      <c r="F28" s="19"/>
      <c r="G28" s="20">
        <f t="shared" si="0"/>
        <v>133.91999999999999</v>
      </c>
      <c r="H28" s="233" t="s">
        <v>143</v>
      </c>
      <c r="I28" s="234"/>
      <c r="J28" s="235"/>
      <c r="M28" s="220">
        <f>45*1.2*((1.58+1.8/2))</f>
        <v>133.91999999999999</v>
      </c>
      <c r="N28" s="221"/>
      <c r="O28" s="222"/>
    </row>
    <row r="29" spans="2:15" x14ac:dyDescent="0.3">
      <c r="B29" s="19"/>
      <c r="C29" s="19"/>
      <c r="D29" s="19"/>
      <c r="E29" s="129" t="s">
        <v>141</v>
      </c>
      <c r="F29" s="19"/>
      <c r="G29" s="20">
        <f t="shared" si="0"/>
        <v>207</v>
      </c>
      <c r="H29" s="233" t="s">
        <v>144</v>
      </c>
      <c r="I29" s="234"/>
      <c r="J29" s="235"/>
      <c r="M29" s="220">
        <f>69*1.2*((1.8+1.4/2))</f>
        <v>207</v>
      </c>
      <c r="N29" s="221"/>
      <c r="O29" s="222"/>
    </row>
    <row r="30" spans="2:15" x14ac:dyDescent="0.3">
      <c r="B30" s="19"/>
      <c r="C30" s="19"/>
      <c r="D30" s="19"/>
      <c r="E30" s="129" t="s">
        <v>145</v>
      </c>
      <c r="F30" s="19"/>
      <c r="G30" s="20">
        <f t="shared" si="0"/>
        <v>192</v>
      </c>
      <c r="H30" s="233" t="s">
        <v>146</v>
      </c>
      <c r="I30" s="234"/>
      <c r="J30" s="235"/>
      <c r="M30" s="220">
        <f>48*1.6*((1.8+1.4/2))</f>
        <v>192.00000000000003</v>
      </c>
      <c r="N30" s="221"/>
      <c r="O30" s="222"/>
    </row>
    <row r="31" spans="2:15" x14ac:dyDescent="0.3">
      <c r="B31" s="19"/>
      <c r="C31" s="19"/>
      <c r="D31" s="19"/>
      <c r="E31" s="23"/>
      <c r="F31" s="19"/>
      <c r="G31" s="20"/>
      <c r="H31" s="223"/>
      <c r="I31" s="221"/>
      <c r="J31" s="222"/>
      <c r="L31" s="114"/>
    </row>
    <row r="32" spans="2:15" ht="28.8" x14ac:dyDescent="0.3">
      <c r="B32" s="19" t="s">
        <v>114</v>
      </c>
      <c r="C32" s="19" t="s">
        <v>24</v>
      </c>
      <c r="D32" s="19">
        <v>101570</v>
      </c>
      <c r="E32" s="113" t="s">
        <v>137</v>
      </c>
      <c r="F32" s="19" t="s">
        <v>29</v>
      </c>
      <c r="G32" s="20">
        <f>SUM(G33)</f>
        <v>101</v>
      </c>
      <c r="H32" s="223"/>
      <c r="I32" s="221"/>
      <c r="J32" s="222"/>
      <c r="L32" s="114"/>
    </row>
    <row r="33" spans="2:15" x14ac:dyDescent="0.3">
      <c r="B33" s="19"/>
      <c r="C33" s="19"/>
      <c r="D33" s="19"/>
      <c r="E33" s="129" t="s">
        <v>139</v>
      </c>
      <c r="F33" s="19"/>
      <c r="G33" s="20">
        <f t="shared" ref="G33" si="1">ROUND(M33,2)</f>
        <v>101</v>
      </c>
      <c r="H33" s="233" t="s">
        <v>152</v>
      </c>
      <c r="I33" s="234"/>
      <c r="J33" s="235"/>
      <c r="M33" s="220">
        <f>(46.5+4)*2*1</f>
        <v>101</v>
      </c>
      <c r="N33" s="221"/>
      <c r="O33" s="222"/>
    </row>
    <row r="34" spans="2:15" x14ac:dyDescent="0.3">
      <c r="B34" s="19"/>
      <c r="C34" s="19"/>
      <c r="D34" s="19"/>
      <c r="E34" s="129"/>
      <c r="F34" s="19"/>
      <c r="G34" s="20"/>
      <c r="H34" s="223"/>
      <c r="I34" s="221"/>
      <c r="J34" s="222"/>
      <c r="M34" s="184"/>
      <c r="N34" s="185"/>
      <c r="O34" s="185"/>
    </row>
    <row r="35" spans="2:15" ht="28.2" customHeight="1" x14ac:dyDescent="0.3">
      <c r="B35" s="19" t="s">
        <v>115</v>
      </c>
      <c r="C35" s="19" t="s">
        <v>24</v>
      </c>
      <c r="D35" s="19">
        <v>101572</v>
      </c>
      <c r="E35" s="113" t="s">
        <v>150</v>
      </c>
      <c r="F35" s="19" t="s">
        <v>29</v>
      </c>
      <c r="G35" s="20">
        <f>SUM(G36:G39)</f>
        <v>462</v>
      </c>
      <c r="H35" s="223"/>
      <c r="I35" s="221"/>
      <c r="J35" s="222"/>
      <c r="L35" s="114"/>
    </row>
    <row r="36" spans="2:15" x14ac:dyDescent="0.3">
      <c r="B36" s="19"/>
      <c r="C36" s="19"/>
      <c r="D36" s="19"/>
      <c r="E36" s="129" t="s">
        <v>141</v>
      </c>
      <c r="F36" s="19"/>
      <c r="G36" s="20">
        <f t="shared" ref="G36:G39" si="2">ROUND(M36,2)</f>
        <v>138</v>
      </c>
      <c r="H36" s="233" t="s">
        <v>153</v>
      </c>
      <c r="I36" s="234"/>
      <c r="J36" s="235"/>
      <c r="M36" s="220">
        <f>69*2*1</f>
        <v>138</v>
      </c>
      <c r="N36" s="221"/>
      <c r="O36" s="222"/>
    </row>
    <row r="37" spans="2:15" x14ac:dyDescent="0.3">
      <c r="B37" s="19"/>
      <c r="C37" s="19"/>
      <c r="D37" s="19"/>
      <c r="E37" s="129" t="s">
        <v>141</v>
      </c>
      <c r="F37" s="19"/>
      <c r="G37" s="20">
        <f t="shared" si="2"/>
        <v>90</v>
      </c>
      <c r="H37" s="233" t="s">
        <v>154</v>
      </c>
      <c r="I37" s="234"/>
      <c r="J37" s="235"/>
      <c r="M37" s="220">
        <f>45*2*1</f>
        <v>90</v>
      </c>
      <c r="N37" s="221"/>
      <c r="O37" s="222"/>
    </row>
    <row r="38" spans="2:15" x14ac:dyDescent="0.3">
      <c r="B38" s="19"/>
      <c r="C38" s="19"/>
      <c r="D38" s="19"/>
      <c r="E38" s="129" t="s">
        <v>141</v>
      </c>
      <c r="F38" s="19"/>
      <c r="G38" s="20">
        <f t="shared" si="2"/>
        <v>138</v>
      </c>
      <c r="H38" s="233" t="s">
        <v>153</v>
      </c>
      <c r="I38" s="234"/>
      <c r="J38" s="235"/>
      <c r="M38" s="220">
        <f>69*2*1</f>
        <v>138</v>
      </c>
      <c r="N38" s="221"/>
      <c r="O38" s="222"/>
    </row>
    <row r="39" spans="2:15" x14ac:dyDescent="0.3">
      <c r="B39" s="19"/>
      <c r="C39" s="19"/>
      <c r="D39" s="19"/>
      <c r="E39" s="129" t="s">
        <v>145</v>
      </c>
      <c r="F39" s="19"/>
      <c r="G39" s="20">
        <f t="shared" si="2"/>
        <v>96</v>
      </c>
      <c r="H39" s="233" t="s">
        <v>155</v>
      </c>
      <c r="I39" s="234"/>
      <c r="J39" s="235"/>
      <c r="M39" s="220">
        <f>48*2*1</f>
        <v>96</v>
      </c>
      <c r="N39" s="221"/>
      <c r="O39" s="222"/>
    </row>
    <row r="40" spans="2:15" x14ac:dyDescent="0.3">
      <c r="B40" s="19"/>
      <c r="C40" s="19"/>
      <c r="D40" s="19"/>
      <c r="E40" s="113"/>
      <c r="F40" s="19"/>
      <c r="G40" s="20"/>
      <c r="H40" s="223"/>
      <c r="I40" s="221"/>
      <c r="J40" s="222"/>
      <c r="L40" s="114"/>
    </row>
    <row r="41" spans="2:15" ht="28.8" x14ac:dyDescent="0.3">
      <c r="B41" s="19" t="s">
        <v>116</v>
      </c>
      <c r="C41" s="19" t="s">
        <v>24</v>
      </c>
      <c r="D41" s="19" t="s">
        <v>38</v>
      </c>
      <c r="E41" s="23" t="s">
        <v>53</v>
      </c>
      <c r="F41" s="19" t="s">
        <v>29</v>
      </c>
      <c r="G41" s="20">
        <f t="shared" si="0"/>
        <v>296.39999999999998</v>
      </c>
      <c r="H41" s="230" t="s">
        <v>158</v>
      </c>
      <c r="I41" s="231"/>
      <c r="J41" s="232"/>
      <c r="M41" s="220">
        <f>(G469*0.6) + (G470*1) + (G44*1.2) + (G45*1.6)</f>
        <v>296.39999999999998</v>
      </c>
      <c r="N41" s="221"/>
      <c r="O41" s="222"/>
    </row>
    <row r="42" spans="2:15" ht="57.6" x14ac:dyDescent="0.3">
      <c r="B42" s="19" t="s">
        <v>117</v>
      </c>
      <c r="C42" s="19" t="s">
        <v>24</v>
      </c>
      <c r="D42" s="19" t="s">
        <v>65</v>
      </c>
      <c r="E42" s="23" t="s">
        <v>68</v>
      </c>
      <c r="F42" s="19" t="s">
        <v>27</v>
      </c>
      <c r="G42" s="20">
        <f t="shared" si="0"/>
        <v>156</v>
      </c>
      <c r="H42" s="230" t="s">
        <v>134</v>
      </c>
      <c r="I42" s="231"/>
      <c r="J42" s="232"/>
      <c r="M42" s="220">
        <f>6+2+6+2+6+2+5+5+2+5+5+8+2+5+5+7+2+7+8+2+6+6+2+8+2+9+9+6+6+2+3+5</f>
        <v>156</v>
      </c>
      <c r="N42" s="221"/>
      <c r="O42" s="222"/>
    </row>
    <row r="43" spans="2:15" ht="57.6" x14ac:dyDescent="0.3">
      <c r="B43" s="19" t="s">
        <v>118</v>
      </c>
      <c r="C43" s="19" t="s">
        <v>24</v>
      </c>
      <c r="D43" s="19" t="s">
        <v>66</v>
      </c>
      <c r="E43" s="23" t="s">
        <v>69</v>
      </c>
      <c r="F43" s="19" t="s">
        <v>27</v>
      </c>
      <c r="G43" s="20">
        <f t="shared" si="0"/>
        <v>350.5</v>
      </c>
      <c r="H43" s="220" t="s">
        <v>130</v>
      </c>
      <c r="I43" s="221"/>
      <c r="J43" s="222"/>
      <c r="M43" s="220">
        <f>44+46+7+8.5+45+7+46.5+4+4+48.5+57+5+28</f>
        <v>350.5</v>
      </c>
      <c r="N43" s="221"/>
      <c r="O43" s="222"/>
    </row>
    <row r="44" spans="2:15" s="120" customFormat="1" ht="57.6" x14ac:dyDescent="0.3">
      <c r="B44" s="19" t="s">
        <v>119</v>
      </c>
      <c r="C44" s="116" t="s">
        <v>24</v>
      </c>
      <c r="D44" s="116">
        <v>92212</v>
      </c>
      <c r="E44" s="117" t="s">
        <v>105</v>
      </c>
      <c r="F44" s="116" t="s">
        <v>27</v>
      </c>
      <c r="G44" s="20">
        <f t="shared" ref="G44" si="3">ROUND(M44,2)</f>
        <v>183</v>
      </c>
      <c r="H44" s="220" t="s">
        <v>131</v>
      </c>
      <c r="I44" s="221"/>
      <c r="J44" s="222"/>
      <c r="K44" s="15"/>
      <c r="L44"/>
      <c r="M44" s="220">
        <f>69+45+69</f>
        <v>183</v>
      </c>
      <c r="N44" s="221"/>
      <c r="O44" s="222"/>
    </row>
    <row r="45" spans="2:15" s="120" customFormat="1" ht="57.6" x14ac:dyDescent="0.3">
      <c r="B45" s="19" t="s">
        <v>120</v>
      </c>
      <c r="C45" s="116" t="s">
        <v>24</v>
      </c>
      <c r="D45" s="116">
        <v>92214</v>
      </c>
      <c r="E45" s="117" t="s">
        <v>103</v>
      </c>
      <c r="F45" s="116" t="s">
        <v>27</v>
      </c>
      <c r="G45" s="20">
        <f t="shared" ref="G45:G57" si="4">ROUND(M45,2)</f>
        <v>48</v>
      </c>
      <c r="H45" s="220" t="s">
        <v>132</v>
      </c>
      <c r="I45" s="221"/>
      <c r="J45" s="222"/>
      <c r="K45" s="15"/>
      <c r="L45"/>
      <c r="M45" s="220">
        <f>48</f>
        <v>48</v>
      </c>
      <c r="N45" s="221"/>
      <c r="O45" s="222"/>
    </row>
    <row r="46" spans="2:15" ht="28.8" x14ac:dyDescent="0.3">
      <c r="B46" s="19" t="s">
        <v>135</v>
      </c>
      <c r="C46" s="19" t="s">
        <v>24</v>
      </c>
      <c r="D46" s="19" t="s">
        <v>39</v>
      </c>
      <c r="E46" s="23" t="s">
        <v>54</v>
      </c>
      <c r="F46" s="19" t="s">
        <v>41</v>
      </c>
      <c r="G46" s="20">
        <f>SUM(G47:G50)</f>
        <v>1215.2200000000003</v>
      </c>
      <c r="H46" s="220"/>
      <c r="I46" s="221"/>
      <c r="J46" s="222"/>
      <c r="M46" s="220"/>
      <c r="N46" s="221"/>
      <c r="O46" s="222"/>
    </row>
    <row r="47" spans="2:15" x14ac:dyDescent="0.3">
      <c r="B47" s="19"/>
      <c r="C47" s="19"/>
      <c r="D47" s="19"/>
      <c r="E47" s="23" t="s">
        <v>138</v>
      </c>
      <c r="F47" s="19"/>
      <c r="G47" s="20">
        <f t="shared" si="4"/>
        <v>101.3</v>
      </c>
      <c r="H47" s="220" t="s">
        <v>159</v>
      </c>
      <c r="I47" s="236"/>
      <c r="J47" s="237"/>
      <c r="M47" s="220">
        <f>G20-(G42*3.14*0.15^2)</f>
        <v>101.29859999999999</v>
      </c>
      <c r="N47" s="221"/>
      <c r="O47" s="222"/>
    </row>
    <row r="48" spans="2:15" x14ac:dyDescent="0.3">
      <c r="B48" s="19"/>
      <c r="C48" s="19"/>
      <c r="D48" s="19"/>
      <c r="E48" s="23" t="s">
        <v>139</v>
      </c>
      <c r="F48" s="19"/>
      <c r="G48" s="20">
        <f t="shared" si="4"/>
        <v>459.79</v>
      </c>
      <c r="H48" s="220" t="s">
        <v>160</v>
      </c>
      <c r="I48" s="236"/>
      <c r="J48" s="237"/>
      <c r="M48" s="220">
        <f>(G23+G24)-(G43*3.14*0.25^2)</f>
        <v>459.79437500000006</v>
      </c>
      <c r="N48" s="221"/>
      <c r="O48" s="222"/>
    </row>
    <row r="49" spans="2:15" ht="27.6" customHeight="1" x14ac:dyDescent="0.3">
      <c r="B49" s="19"/>
      <c r="C49" s="19"/>
      <c r="D49" s="19"/>
      <c r="E49" s="23" t="s">
        <v>141</v>
      </c>
      <c r="F49" s="19"/>
      <c r="G49" s="20">
        <f t="shared" si="4"/>
        <v>582.25</v>
      </c>
      <c r="H49" s="230" t="s">
        <v>161</v>
      </c>
      <c r="I49" s="238"/>
      <c r="J49" s="239"/>
      <c r="M49" s="220">
        <f>(G27+G28+G29)+(G44*3.14*0.3^2)</f>
        <v>582.24579999999992</v>
      </c>
      <c r="N49" s="221"/>
      <c r="O49" s="222"/>
    </row>
    <row r="50" spans="2:15" x14ac:dyDescent="0.3">
      <c r="B50" s="19"/>
      <c r="C50" s="19"/>
      <c r="D50" s="19"/>
      <c r="E50" s="23" t="s">
        <v>145</v>
      </c>
      <c r="F50" s="19"/>
      <c r="G50" s="20">
        <f t="shared" si="4"/>
        <v>71.88</v>
      </c>
      <c r="H50" s="220" t="s">
        <v>162</v>
      </c>
      <c r="I50" s="236"/>
      <c r="J50" s="237"/>
      <c r="M50" s="220">
        <f>G39-(G45*3.14*0.4^2)</f>
        <v>71.884799999999998</v>
      </c>
      <c r="N50" s="221"/>
      <c r="O50" s="222"/>
    </row>
    <row r="51" spans="2:15" x14ac:dyDescent="0.3">
      <c r="B51" s="19"/>
      <c r="C51" s="19"/>
      <c r="D51" s="19"/>
      <c r="E51" s="23"/>
      <c r="F51" s="19"/>
      <c r="G51" s="20"/>
      <c r="H51" s="220"/>
      <c r="I51" s="236"/>
      <c r="J51" s="237"/>
      <c r="M51" s="220"/>
      <c r="N51" s="221"/>
      <c r="O51" s="222"/>
    </row>
    <row r="52" spans="2:15" s="120" customFormat="1" x14ac:dyDescent="0.3">
      <c r="B52" s="19" t="s">
        <v>136</v>
      </c>
      <c r="C52" s="116" t="s">
        <v>121</v>
      </c>
      <c r="D52" s="116" t="s">
        <v>125</v>
      </c>
      <c r="E52" s="117" t="s">
        <v>126</v>
      </c>
      <c r="F52" s="116" t="s">
        <v>102</v>
      </c>
      <c r="G52" s="20">
        <f t="shared" si="4"/>
        <v>1</v>
      </c>
      <c r="H52" s="220" t="s">
        <v>133</v>
      </c>
      <c r="I52" s="221"/>
      <c r="J52" s="222"/>
      <c r="K52" s="15"/>
      <c r="L52"/>
      <c r="M52" s="220">
        <f>1</f>
        <v>1</v>
      </c>
      <c r="N52" s="221"/>
      <c r="O52" s="222"/>
    </row>
    <row r="53" spans="2:15" ht="28.8" x14ac:dyDescent="0.3">
      <c r="B53" s="19" t="s">
        <v>149</v>
      </c>
      <c r="C53" s="116" t="s">
        <v>121</v>
      </c>
      <c r="D53" s="19" t="s">
        <v>123</v>
      </c>
      <c r="E53" s="113" t="s">
        <v>124</v>
      </c>
      <c r="F53" s="19" t="s">
        <v>102</v>
      </c>
      <c r="G53" s="20">
        <f t="shared" si="4"/>
        <v>1</v>
      </c>
      <c r="H53" s="220" t="s">
        <v>133</v>
      </c>
      <c r="I53" s="221"/>
      <c r="J53" s="222"/>
      <c r="M53" s="220">
        <f>1</f>
        <v>1</v>
      </c>
      <c r="N53" s="221"/>
      <c r="O53" s="222"/>
    </row>
    <row r="54" spans="2:15" ht="43.2" x14ac:dyDescent="0.3">
      <c r="B54" s="190" t="s">
        <v>283</v>
      </c>
      <c r="C54" s="116" t="s">
        <v>24</v>
      </c>
      <c r="D54" s="190">
        <v>99254</v>
      </c>
      <c r="E54" s="113" t="s">
        <v>287</v>
      </c>
      <c r="F54" s="190" t="s">
        <v>27</v>
      </c>
      <c r="G54" s="20">
        <f t="shared" si="4"/>
        <v>0.78</v>
      </c>
      <c r="H54" s="220" t="s">
        <v>290</v>
      </c>
      <c r="I54" s="221"/>
      <c r="J54" s="222"/>
      <c r="M54" s="220">
        <f>0.4+0.18+0.1+0.1</f>
        <v>0.78</v>
      </c>
      <c r="N54" s="221"/>
      <c r="O54" s="222"/>
    </row>
    <row r="55" spans="2:15" ht="43.2" x14ac:dyDescent="0.3">
      <c r="B55" s="190" t="s">
        <v>284</v>
      </c>
      <c r="C55" s="116" t="s">
        <v>24</v>
      </c>
      <c r="D55" s="190">
        <v>99252</v>
      </c>
      <c r="E55" s="113" t="s">
        <v>288</v>
      </c>
      <c r="F55" s="190" t="s">
        <v>102</v>
      </c>
      <c r="G55" s="20">
        <f t="shared" si="4"/>
        <v>17</v>
      </c>
      <c r="H55" s="220" t="s">
        <v>294</v>
      </c>
      <c r="I55" s="221"/>
      <c r="J55" s="222"/>
      <c r="M55" s="220">
        <f>10+7</f>
        <v>17</v>
      </c>
      <c r="N55" s="221"/>
      <c r="O55" s="222"/>
    </row>
    <row r="56" spans="2:15" ht="28.8" x14ac:dyDescent="0.3">
      <c r="B56" s="190" t="s">
        <v>285</v>
      </c>
      <c r="C56" s="116" t="s">
        <v>24</v>
      </c>
      <c r="D56" s="190">
        <v>98114</v>
      </c>
      <c r="E56" s="113" t="s">
        <v>175</v>
      </c>
      <c r="F56" s="190" t="s">
        <v>102</v>
      </c>
      <c r="G56" s="20">
        <f t="shared" si="4"/>
        <v>17</v>
      </c>
      <c r="H56" s="220" t="s">
        <v>294</v>
      </c>
      <c r="I56" s="221"/>
      <c r="J56" s="222"/>
      <c r="M56" s="220">
        <f>10+7</f>
        <v>17</v>
      </c>
      <c r="N56" s="221"/>
      <c r="O56" s="222"/>
    </row>
    <row r="57" spans="2:15" ht="30.6" customHeight="1" x14ac:dyDescent="0.3">
      <c r="B57" s="190" t="s">
        <v>286</v>
      </c>
      <c r="C57" s="116" t="s">
        <v>24</v>
      </c>
      <c r="D57" s="190">
        <v>97947</v>
      </c>
      <c r="E57" s="113" t="s">
        <v>289</v>
      </c>
      <c r="F57" s="190" t="s">
        <v>102</v>
      </c>
      <c r="G57" s="20">
        <f t="shared" si="4"/>
        <v>30</v>
      </c>
      <c r="H57" s="220" t="s">
        <v>295</v>
      </c>
      <c r="I57" s="221"/>
      <c r="J57" s="222"/>
      <c r="M57" s="220">
        <f>18+12</f>
        <v>30</v>
      </c>
      <c r="N57" s="221"/>
      <c r="O57" s="222"/>
    </row>
    <row r="58" spans="2:15" x14ac:dyDescent="0.3">
      <c r="B58" s="190"/>
      <c r="C58" s="190"/>
      <c r="D58" s="190"/>
      <c r="E58" s="23"/>
      <c r="F58" s="190"/>
      <c r="G58" s="20"/>
      <c r="H58" s="187"/>
      <c r="I58" s="188"/>
      <c r="J58" s="189"/>
    </row>
    <row r="59" spans="2:15" x14ac:dyDescent="0.3">
      <c r="B59" s="19"/>
      <c r="C59" s="19"/>
      <c r="D59" s="19"/>
      <c r="E59" s="23"/>
      <c r="F59" s="19"/>
      <c r="G59" s="20"/>
      <c r="H59" s="223"/>
      <c r="I59" s="221"/>
      <c r="J59" s="222"/>
    </row>
    <row r="60" spans="2:15" x14ac:dyDescent="0.3">
      <c r="B60" s="40" t="s">
        <v>199</v>
      </c>
      <c r="C60" s="40"/>
      <c r="D60" s="40"/>
      <c r="E60" s="41" t="s">
        <v>164</v>
      </c>
      <c r="F60" s="40"/>
      <c r="G60" s="42"/>
      <c r="H60" s="217"/>
      <c r="I60" s="218"/>
      <c r="J60" s="219"/>
    </row>
    <row r="61" spans="2:15" ht="28.8" x14ac:dyDescent="0.3">
      <c r="B61" s="19" t="s">
        <v>200</v>
      </c>
      <c r="C61" s="19" t="s">
        <v>64</v>
      </c>
      <c r="D61" s="19">
        <v>2</v>
      </c>
      <c r="E61" s="23" t="s">
        <v>36</v>
      </c>
      <c r="F61" s="19" t="s">
        <v>27</v>
      </c>
      <c r="G61" s="20">
        <f t="shared" ref="G61:G73" si="5">ROUND(M61,2)</f>
        <v>167.99</v>
      </c>
      <c r="H61" s="220" t="s">
        <v>263</v>
      </c>
      <c r="I61" s="221"/>
      <c r="J61" s="222"/>
      <c r="M61" s="243">
        <f>M67+M68</f>
        <v>167.99</v>
      </c>
      <c r="N61" s="244"/>
      <c r="O61" s="244"/>
    </row>
    <row r="62" spans="2:15" ht="57.6" x14ac:dyDescent="0.3">
      <c r="B62" s="19" t="s">
        <v>201</v>
      </c>
      <c r="C62" s="19" t="s">
        <v>24</v>
      </c>
      <c r="D62" s="19" t="s">
        <v>40</v>
      </c>
      <c r="E62" s="23" t="s">
        <v>55</v>
      </c>
      <c r="F62" s="19" t="s">
        <v>41</v>
      </c>
      <c r="G62" s="20">
        <f t="shared" si="5"/>
        <v>79.83</v>
      </c>
      <c r="H62" s="220"/>
      <c r="I62" s="221"/>
      <c r="J62" s="222"/>
      <c r="M62" s="220">
        <f>SUM(M63:O64)</f>
        <v>79.834440000000001</v>
      </c>
      <c r="N62" s="221"/>
      <c r="O62" s="222"/>
    </row>
    <row r="63" spans="2:15" ht="51.6" customHeight="1" x14ac:dyDescent="0.3">
      <c r="B63" s="186"/>
      <c r="C63" s="186"/>
      <c r="D63" s="186"/>
      <c r="E63" s="129" t="s">
        <v>279</v>
      </c>
      <c r="F63" s="186"/>
      <c r="G63" s="20"/>
      <c r="H63" s="230" t="s">
        <v>281</v>
      </c>
      <c r="I63" s="238"/>
      <c r="J63" s="239"/>
      <c r="M63" s="220">
        <f>0.4*((((1.02+0.9)/2)*56.51)+(((1.31+1.02)/2)*56.53))</f>
        <v>48.042819999999999</v>
      </c>
      <c r="N63" s="236"/>
      <c r="O63" s="237"/>
    </row>
    <row r="64" spans="2:15" x14ac:dyDescent="0.3">
      <c r="B64" s="186"/>
      <c r="C64" s="186"/>
      <c r="D64" s="186"/>
      <c r="E64" s="129" t="s">
        <v>280</v>
      </c>
      <c r="F64" s="186"/>
      <c r="G64" s="20"/>
      <c r="H64" s="220" t="s">
        <v>282</v>
      </c>
      <c r="I64" s="236"/>
      <c r="J64" s="237"/>
      <c r="M64" s="220">
        <f>0.4*(((1.7+1.31)/2)*52.81)</f>
        <v>31.791620000000002</v>
      </c>
      <c r="N64" s="236"/>
      <c r="O64" s="237"/>
    </row>
    <row r="65" spans="2:15" x14ac:dyDescent="0.3">
      <c r="B65" s="186"/>
      <c r="C65" s="186"/>
      <c r="D65" s="186"/>
      <c r="E65" s="129"/>
      <c r="F65" s="186"/>
      <c r="G65" s="20"/>
      <c r="H65" s="157"/>
      <c r="I65" s="160"/>
      <c r="J65" s="161"/>
      <c r="M65" s="157"/>
      <c r="N65" s="158"/>
      <c r="O65" s="159"/>
    </row>
    <row r="66" spans="2:15" ht="28.8" x14ac:dyDescent="0.3">
      <c r="B66" s="19" t="s">
        <v>202</v>
      </c>
      <c r="C66" s="19" t="s">
        <v>24</v>
      </c>
      <c r="D66" s="19" t="s">
        <v>38</v>
      </c>
      <c r="E66" s="23" t="s">
        <v>53</v>
      </c>
      <c r="F66" s="19" t="s">
        <v>29</v>
      </c>
      <c r="G66" s="20">
        <f t="shared" si="5"/>
        <v>67.2</v>
      </c>
      <c r="H66" s="220" t="s">
        <v>266</v>
      </c>
      <c r="I66" s="221"/>
      <c r="J66" s="222"/>
      <c r="M66" s="220">
        <f>(((M67+M68)*0.4))</f>
        <v>67.196000000000012</v>
      </c>
      <c r="N66" s="221"/>
      <c r="O66" s="222"/>
    </row>
    <row r="67" spans="2:15" ht="43.2" x14ac:dyDescent="0.3">
      <c r="B67" s="19" t="s">
        <v>203</v>
      </c>
      <c r="C67" s="19" t="s">
        <v>24</v>
      </c>
      <c r="D67" s="19" t="s">
        <v>165</v>
      </c>
      <c r="E67" s="23" t="s">
        <v>166</v>
      </c>
      <c r="F67" s="19" t="s">
        <v>27</v>
      </c>
      <c r="G67" s="20">
        <f t="shared" si="5"/>
        <v>113.18</v>
      </c>
      <c r="H67" s="220" t="s">
        <v>264</v>
      </c>
      <c r="I67" s="221"/>
      <c r="J67" s="222"/>
      <c r="M67" s="220">
        <f>56.51+56.67</f>
        <v>113.18</v>
      </c>
      <c r="N67" s="221"/>
      <c r="O67" s="222"/>
    </row>
    <row r="68" spans="2:15" ht="43.2" x14ac:dyDescent="0.3">
      <c r="B68" s="19" t="s">
        <v>204</v>
      </c>
      <c r="C68" s="19" t="s">
        <v>24</v>
      </c>
      <c r="D68" s="19" t="s">
        <v>167</v>
      </c>
      <c r="E68" s="23" t="s">
        <v>168</v>
      </c>
      <c r="F68" s="19" t="s">
        <v>27</v>
      </c>
      <c r="G68" s="20">
        <f t="shared" si="5"/>
        <v>54.81</v>
      </c>
      <c r="H68" s="220" t="s">
        <v>265</v>
      </c>
      <c r="I68" s="221"/>
      <c r="J68" s="222"/>
      <c r="M68" s="220">
        <f>54.81</f>
        <v>54.81</v>
      </c>
      <c r="N68" s="221"/>
      <c r="O68" s="222"/>
    </row>
    <row r="69" spans="2:15" ht="28.8" x14ac:dyDescent="0.3">
      <c r="B69" s="19" t="s">
        <v>205</v>
      </c>
      <c r="C69" s="19" t="s">
        <v>24</v>
      </c>
      <c r="D69" s="19" t="s">
        <v>39</v>
      </c>
      <c r="E69" s="23" t="s">
        <v>54</v>
      </c>
      <c r="F69" s="19" t="s">
        <v>41</v>
      </c>
      <c r="G69" s="20">
        <f t="shared" si="5"/>
        <v>76.11</v>
      </c>
      <c r="H69" s="230" t="s">
        <v>267</v>
      </c>
      <c r="I69" s="231"/>
      <c r="J69" s="232"/>
      <c r="M69" s="243">
        <f>M62-((M67*3.14*0.075^2)+(M68*3.14*0.1^2))</f>
        <v>76.114364249999994</v>
      </c>
      <c r="N69" s="244"/>
      <c r="O69" s="244"/>
    </row>
    <row r="70" spans="2:15" ht="43.2" x14ac:dyDescent="0.3">
      <c r="B70" s="19" t="s">
        <v>206</v>
      </c>
      <c r="C70" s="19" t="s">
        <v>24</v>
      </c>
      <c r="D70" s="19" t="s">
        <v>169</v>
      </c>
      <c r="E70" s="23" t="s">
        <v>170</v>
      </c>
      <c r="F70" s="19" t="s">
        <v>171</v>
      </c>
      <c r="G70" s="20">
        <f t="shared" si="5"/>
        <v>4</v>
      </c>
      <c r="H70" s="220" t="s">
        <v>268</v>
      </c>
      <c r="I70" s="221"/>
      <c r="J70" s="222"/>
      <c r="M70" s="243">
        <v>4</v>
      </c>
      <c r="N70" s="244"/>
      <c r="O70" s="244"/>
    </row>
    <row r="71" spans="2:15" ht="28.8" x14ac:dyDescent="0.3">
      <c r="B71" s="19" t="s">
        <v>207</v>
      </c>
      <c r="C71" s="19" t="s">
        <v>24</v>
      </c>
      <c r="D71" s="19" t="s">
        <v>172</v>
      </c>
      <c r="E71" s="23" t="s">
        <v>173</v>
      </c>
      <c r="F71" s="19" t="s">
        <v>27</v>
      </c>
      <c r="G71" s="20">
        <f t="shared" si="5"/>
        <v>1.33</v>
      </c>
      <c r="H71" s="220" t="s">
        <v>270</v>
      </c>
      <c r="I71" s="221"/>
      <c r="J71" s="222"/>
      <c r="M71" s="220">
        <f>0.12+0.41+0.8</f>
        <v>1.33</v>
      </c>
      <c r="N71" s="221"/>
      <c r="O71" s="222"/>
    </row>
    <row r="72" spans="2:15" ht="28.8" x14ac:dyDescent="0.3">
      <c r="B72" s="19" t="s">
        <v>208</v>
      </c>
      <c r="C72" s="19" t="s">
        <v>24</v>
      </c>
      <c r="D72" s="19" t="s">
        <v>174</v>
      </c>
      <c r="E72" s="23" t="s">
        <v>175</v>
      </c>
      <c r="F72" s="19" t="s">
        <v>171</v>
      </c>
      <c r="G72" s="20">
        <f t="shared" si="5"/>
        <v>4</v>
      </c>
      <c r="H72" s="220" t="s">
        <v>268</v>
      </c>
      <c r="I72" s="221"/>
      <c r="J72" s="222"/>
      <c r="M72" s="243">
        <v>4</v>
      </c>
      <c r="N72" s="244"/>
      <c r="O72" s="244"/>
    </row>
    <row r="73" spans="2:15" ht="57.6" x14ac:dyDescent="0.3">
      <c r="B73" s="19" t="s">
        <v>209</v>
      </c>
      <c r="C73" s="19" t="s">
        <v>64</v>
      </c>
      <c r="D73" s="19">
        <v>3</v>
      </c>
      <c r="E73" s="23" t="s">
        <v>177</v>
      </c>
      <c r="F73" s="19" t="s">
        <v>176</v>
      </c>
      <c r="G73" s="20">
        <f t="shared" si="5"/>
        <v>9</v>
      </c>
      <c r="H73" s="220" t="s">
        <v>269</v>
      </c>
      <c r="I73" s="221"/>
      <c r="J73" s="222"/>
      <c r="M73" s="243">
        <v>9</v>
      </c>
      <c r="N73" s="244"/>
      <c r="O73" s="244"/>
    </row>
    <row r="74" spans="2:15" x14ac:dyDescent="0.3">
      <c r="B74" s="19"/>
      <c r="C74" s="19"/>
      <c r="D74" s="19"/>
      <c r="E74" s="23"/>
      <c r="F74" s="19"/>
      <c r="G74" s="20"/>
      <c r="H74" s="223"/>
      <c r="I74" s="221"/>
      <c r="J74" s="222"/>
    </row>
    <row r="75" spans="2:15" x14ac:dyDescent="0.3">
      <c r="B75" s="142" t="s">
        <v>210</v>
      </c>
      <c r="C75" s="143" t="s">
        <v>24</v>
      </c>
      <c r="D75" s="144"/>
      <c r="E75" s="145" t="s">
        <v>178</v>
      </c>
      <c r="F75" s="146"/>
      <c r="G75" s="140"/>
      <c r="H75" s="240"/>
      <c r="I75" s="241"/>
      <c r="J75" s="242"/>
    </row>
    <row r="76" spans="2:15" ht="28.8" x14ac:dyDescent="0.3">
      <c r="B76" s="141" t="s">
        <v>211</v>
      </c>
      <c r="C76" s="130" t="s">
        <v>64</v>
      </c>
      <c r="D76" s="131" t="s">
        <v>254</v>
      </c>
      <c r="E76" s="135" t="s">
        <v>179</v>
      </c>
      <c r="F76" s="132" t="s">
        <v>27</v>
      </c>
      <c r="G76" s="20">
        <f t="shared" ref="G76:G79" si="6">ROUND(M76,2)</f>
        <v>69.930000000000007</v>
      </c>
      <c r="H76" s="220" t="s">
        <v>327</v>
      </c>
      <c r="I76" s="221"/>
      <c r="J76" s="222"/>
      <c r="M76" s="223">
        <f>64.93+5</f>
        <v>69.930000000000007</v>
      </c>
      <c r="N76" s="221"/>
      <c r="O76" s="222"/>
    </row>
    <row r="77" spans="2:15" x14ac:dyDescent="0.3">
      <c r="B77" s="141" t="s">
        <v>212</v>
      </c>
      <c r="C77" s="130" t="s">
        <v>24</v>
      </c>
      <c r="D77" s="131" t="s">
        <v>180</v>
      </c>
      <c r="E77" s="135" t="s">
        <v>181</v>
      </c>
      <c r="F77" s="132" t="s">
        <v>29</v>
      </c>
      <c r="G77" s="20">
        <f t="shared" si="6"/>
        <v>534.57000000000005</v>
      </c>
      <c r="H77" s="220" t="s">
        <v>259</v>
      </c>
      <c r="I77" s="221"/>
      <c r="J77" s="222"/>
      <c r="M77" s="223">
        <v>534.57000000000005</v>
      </c>
      <c r="N77" s="221"/>
      <c r="O77" s="222"/>
    </row>
    <row r="78" spans="2:15" ht="43.2" x14ac:dyDescent="0.3">
      <c r="B78" s="141" t="s">
        <v>213</v>
      </c>
      <c r="C78" s="130" t="s">
        <v>24</v>
      </c>
      <c r="D78" s="131" t="s">
        <v>182</v>
      </c>
      <c r="E78" s="135" t="s">
        <v>183</v>
      </c>
      <c r="F78" s="132" t="s">
        <v>41</v>
      </c>
      <c r="G78" s="20">
        <f t="shared" si="6"/>
        <v>80.19</v>
      </c>
      <c r="H78" s="220" t="s">
        <v>260</v>
      </c>
      <c r="I78" s="221"/>
      <c r="J78" s="222"/>
      <c r="M78" s="223">
        <f>M77*0.15</f>
        <v>80.185500000000005</v>
      </c>
      <c r="N78" s="221"/>
      <c r="O78" s="222"/>
    </row>
    <row r="79" spans="2:15" ht="28.8" x14ac:dyDescent="0.3">
      <c r="B79" s="141" t="s">
        <v>214</v>
      </c>
      <c r="C79" s="130" t="s">
        <v>24</v>
      </c>
      <c r="D79" s="131" t="s">
        <v>184</v>
      </c>
      <c r="E79" s="135" t="s">
        <v>185</v>
      </c>
      <c r="F79" s="132" t="s">
        <v>186</v>
      </c>
      <c r="G79" s="20">
        <f t="shared" si="6"/>
        <v>649.5</v>
      </c>
      <c r="H79" s="220" t="s">
        <v>261</v>
      </c>
      <c r="I79" s="221"/>
      <c r="J79" s="222"/>
      <c r="M79" s="223">
        <f>M78*8.1</f>
        <v>649.50255000000004</v>
      </c>
      <c r="N79" s="221"/>
      <c r="O79" s="222"/>
    </row>
    <row r="80" spans="2:15" ht="57.6" x14ac:dyDescent="0.3">
      <c r="B80" s="141" t="s">
        <v>215</v>
      </c>
      <c r="C80" s="130" t="s">
        <v>24</v>
      </c>
      <c r="D80" s="131" t="s">
        <v>187</v>
      </c>
      <c r="E80" s="135" t="s">
        <v>188</v>
      </c>
      <c r="F80" s="132" t="s">
        <v>41</v>
      </c>
      <c r="G80" s="20">
        <f t="shared" ref="G80" si="7">ROUND(M80,2)</f>
        <v>80.19</v>
      </c>
      <c r="H80" s="220" t="s">
        <v>262</v>
      </c>
      <c r="I80" s="221"/>
      <c r="J80" s="222"/>
      <c r="M80" s="223">
        <f>M78</f>
        <v>80.185500000000005</v>
      </c>
      <c r="N80" s="221"/>
      <c r="O80" s="222"/>
    </row>
    <row r="81" spans="2:15" x14ac:dyDescent="0.3">
      <c r="B81" s="136"/>
      <c r="C81" s="136"/>
      <c r="D81" s="136"/>
      <c r="E81" s="136"/>
      <c r="F81" s="136"/>
      <c r="G81" s="20"/>
      <c r="H81" s="223"/>
      <c r="I81" s="221"/>
      <c r="J81" s="222"/>
    </row>
    <row r="82" spans="2:15" x14ac:dyDescent="0.3">
      <c r="B82" s="142" t="s">
        <v>216</v>
      </c>
      <c r="C82" s="143" t="s">
        <v>24</v>
      </c>
      <c r="D82" s="144"/>
      <c r="E82" s="145" t="s">
        <v>189</v>
      </c>
      <c r="F82" s="146"/>
      <c r="G82" s="140"/>
      <c r="H82" s="152"/>
      <c r="I82" s="153"/>
      <c r="J82" s="154"/>
    </row>
    <row r="83" spans="2:15" ht="43.2" x14ac:dyDescent="0.3">
      <c r="B83" s="141" t="s">
        <v>217</v>
      </c>
      <c r="C83" s="130" t="s">
        <v>24</v>
      </c>
      <c r="D83" s="131" t="s">
        <v>190</v>
      </c>
      <c r="E83" s="135" t="s">
        <v>191</v>
      </c>
      <c r="F83" s="132" t="s">
        <v>192</v>
      </c>
      <c r="G83" s="20">
        <f t="shared" ref="G83:G89" si="8">ROUND(M83,2)</f>
        <v>200.46</v>
      </c>
      <c r="H83" s="220" t="s">
        <v>274</v>
      </c>
      <c r="I83" s="221"/>
      <c r="J83" s="222"/>
      <c r="M83" s="223">
        <f>((M87*0.012)+(M88*0.0005))*30</f>
        <v>200.46375000000003</v>
      </c>
      <c r="N83" s="221"/>
      <c r="O83" s="222"/>
    </row>
    <row r="84" spans="2:15" ht="43.2" x14ac:dyDescent="0.3">
      <c r="B84" s="141" t="s">
        <v>218</v>
      </c>
      <c r="C84" s="130" t="s">
        <v>24</v>
      </c>
      <c r="D84" s="131" t="s">
        <v>193</v>
      </c>
      <c r="E84" s="135" t="s">
        <v>194</v>
      </c>
      <c r="F84" s="132" t="s">
        <v>192</v>
      </c>
      <c r="G84" s="20">
        <f t="shared" si="8"/>
        <v>1276.29</v>
      </c>
      <c r="H84" s="220" t="s">
        <v>275</v>
      </c>
      <c r="I84" s="221"/>
      <c r="J84" s="222"/>
      <c r="M84" s="223">
        <f>((M87*0.012)+(M88*0.0005))*(221-30)</f>
        <v>1276.2858750000003</v>
      </c>
      <c r="N84" s="221"/>
      <c r="O84" s="222"/>
    </row>
    <row r="85" spans="2:15" ht="28.8" x14ac:dyDescent="0.3">
      <c r="B85" s="141" t="s">
        <v>219</v>
      </c>
      <c r="C85" s="130" t="s">
        <v>24</v>
      </c>
      <c r="D85" s="131" t="s">
        <v>184</v>
      </c>
      <c r="E85" s="135" t="s">
        <v>185</v>
      </c>
      <c r="F85" s="132" t="s">
        <v>186</v>
      </c>
      <c r="G85" s="20">
        <f t="shared" si="8"/>
        <v>801.86</v>
      </c>
      <c r="H85" s="220" t="s">
        <v>276</v>
      </c>
      <c r="I85" s="221"/>
      <c r="J85" s="222"/>
      <c r="M85" s="223">
        <f>M89*30</f>
        <v>801.85500000000013</v>
      </c>
      <c r="N85" s="221"/>
      <c r="O85" s="222"/>
    </row>
    <row r="86" spans="2:15" ht="43.2" x14ac:dyDescent="0.3">
      <c r="B86" s="141" t="s">
        <v>220</v>
      </c>
      <c r="C86" s="130" t="s">
        <v>24</v>
      </c>
      <c r="D86" s="131" t="s">
        <v>195</v>
      </c>
      <c r="E86" s="135" t="s">
        <v>196</v>
      </c>
      <c r="F86" s="132" t="s">
        <v>186</v>
      </c>
      <c r="G86" s="20">
        <f t="shared" si="8"/>
        <v>614.76</v>
      </c>
      <c r="H86" s="220" t="s">
        <v>277</v>
      </c>
      <c r="I86" s="221"/>
      <c r="J86" s="222"/>
      <c r="M86" s="223">
        <f>M89*(53-30)</f>
        <v>614.7555000000001</v>
      </c>
      <c r="N86" s="221"/>
      <c r="O86" s="222"/>
    </row>
    <row r="87" spans="2:15" ht="28.8" x14ac:dyDescent="0.3">
      <c r="B87" s="141" t="s">
        <v>221</v>
      </c>
      <c r="C87" s="130" t="s">
        <v>121</v>
      </c>
      <c r="D87" s="131" t="s">
        <v>255</v>
      </c>
      <c r="E87" s="135" t="s">
        <v>256</v>
      </c>
      <c r="F87" s="132" t="s">
        <v>29</v>
      </c>
      <c r="G87" s="20">
        <f t="shared" si="8"/>
        <v>534.57000000000005</v>
      </c>
      <c r="H87" s="220" t="s">
        <v>271</v>
      </c>
      <c r="I87" s="221"/>
      <c r="J87" s="222"/>
      <c r="M87" s="223">
        <v>534.57000000000005</v>
      </c>
      <c r="N87" s="221"/>
      <c r="O87" s="222"/>
    </row>
    <row r="88" spans="2:15" ht="28.8" x14ac:dyDescent="0.3">
      <c r="B88" s="141" t="s">
        <v>222</v>
      </c>
      <c r="C88" s="130" t="s">
        <v>121</v>
      </c>
      <c r="D88" s="131" t="s">
        <v>257</v>
      </c>
      <c r="E88" s="135" t="s">
        <v>258</v>
      </c>
      <c r="F88" s="132" t="s">
        <v>29</v>
      </c>
      <c r="G88" s="20">
        <f t="shared" si="8"/>
        <v>534.57000000000005</v>
      </c>
      <c r="H88" s="220" t="s">
        <v>272</v>
      </c>
      <c r="I88" s="221"/>
      <c r="J88" s="222"/>
      <c r="M88" s="223">
        <f>M87</f>
        <v>534.57000000000005</v>
      </c>
      <c r="N88" s="221"/>
      <c r="O88" s="222"/>
    </row>
    <row r="89" spans="2:15" ht="43.2" x14ac:dyDescent="0.3">
      <c r="B89" s="141" t="s">
        <v>223</v>
      </c>
      <c r="C89" s="130" t="s">
        <v>24</v>
      </c>
      <c r="D89" s="131" t="s">
        <v>197</v>
      </c>
      <c r="E89" s="135" t="s">
        <v>198</v>
      </c>
      <c r="F89" s="132" t="s">
        <v>41</v>
      </c>
      <c r="G89" s="20">
        <f t="shared" si="8"/>
        <v>26.73</v>
      </c>
      <c r="H89" s="220" t="s">
        <v>273</v>
      </c>
      <c r="I89" s="221"/>
      <c r="J89" s="222"/>
      <c r="M89" s="223">
        <f>M88*0.05</f>
        <v>26.728500000000004</v>
      </c>
      <c r="N89" s="221"/>
      <c r="O89" s="222"/>
    </row>
    <row r="90" spans="2:15" x14ac:dyDescent="0.3">
      <c r="B90" s="19"/>
      <c r="C90" s="19"/>
      <c r="D90" s="19"/>
      <c r="E90" s="23"/>
      <c r="F90" s="19"/>
      <c r="G90" s="20"/>
      <c r="H90" s="223"/>
      <c r="I90" s="221"/>
      <c r="J90" s="222"/>
    </row>
    <row r="91" spans="2:15" x14ac:dyDescent="0.3">
      <c r="B91" s="142" t="s">
        <v>296</v>
      </c>
      <c r="C91" s="143"/>
      <c r="D91" s="144"/>
      <c r="E91" s="145" t="s">
        <v>300</v>
      </c>
      <c r="F91" s="146"/>
      <c r="G91" s="140"/>
      <c r="H91" s="240"/>
      <c r="I91" s="241"/>
      <c r="J91" s="242"/>
    </row>
    <row r="92" spans="2:15" ht="43.2" x14ac:dyDescent="0.3">
      <c r="B92" s="141" t="s">
        <v>299</v>
      </c>
      <c r="C92" s="130" t="s">
        <v>298</v>
      </c>
      <c r="D92" s="131" t="s">
        <v>297</v>
      </c>
      <c r="E92" s="135" t="s">
        <v>228</v>
      </c>
      <c r="F92" s="132" t="s">
        <v>27</v>
      </c>
      <c r="G92" s="20">
        <f t="shared" ref="G92:G93" si="9">ROUND(M92,2)</f>
        <v>130.81</v>
      </c>
      <c r="H92" s="230" t="s">
        <v>301</v>
      </c>
      <c r="I92" s="231"/>
      <c r="J92" s="232"/>
      <c r="M92" s="220">
        <f>12.71+47.35+4.85+13+10+19.8+1.16+1.42+3.27+4.05+1.3+11.9</f>
        <v>130.80999999999997</v>
      </c>
      <c r="N92" s="221"/>
      <c r="O92" s="222"/>
    </row>
    <row r="93" spans="2:15" ht="57.6" x14ac:dyDescent="0.3">
      <c r="B93" s="141" t="s">
        <v>302</v>
      </c>
      <c r="C93" s="130" t="s">
        <v>24</v>
      </c>
      <c r="D93" s="131" t="s">
        <v>226</v>
      </c>
      <c r="E93" s="135" t="s">
        <v>240</v>
      </c>
      <c r="F93" s="132" t="s">
        <v>27</v>
      </c>
      <c r="G93" s="20">
        <f t="shared" si="9"/>
        <v>17.25</v>
      </c>
      <c r="H93" s="220" t="s">
        <v>303</v>
      </c>
      <c r="I93" s="221"/>
      <c r="J93" s="222"/>
      <c r="M93" s="220">
        <f>11.9+1.3+4.05</f>
        <v>17.25</v>
      </c>
      <c r="N93" s="221"/>
      <c r="O93" s="222"/>
    </row>
    <row r="94" spans="2:15" x14ac:dyDescent="0.3">
      <c r="B94" s="191"/>
      <c r="C94" s="191"/>
      <c r="D94" s="191"/>
      <c r="E94" s="23"/>
      <c r="F94" s="191"/>
      <c r="G94" s="20"/>
      <c r="H94" s="223"/>
      <c r="I94" s="221"/>
      <c r="J94" s="222"/>
    </row>
    <row r="95" spans="2:15" x14ac:dyDescent="0.3">
      <c r="B95" s="200" t="str">
        <f>'PLANILHA ORÇAMENTÁRIA'!B71</f>
        <v>1.6</v>
      </c>
      <c r="C95" s="200"/>
      <c r="D95" s="200"/>
      <c r="E95" s="23" t="str">
        <f>'PLANILHA ORÇAMENTÁRIA'!E71</f>
        <v>SINALIZAÇÃO VERTICAL E HORIZONTAL</v>
      </c>
      <c r="F95" s="200"/>
      <c r="G95" s="20"/>
      <c r="H95" s="223"/>
      <c r="I95" s="221"/>
      <c r="J95" s="222"/>
    </row>
    <row r="96" spans="2:15" ht="48.6" customHeight="1" x14ac:dyDescent="0.3">
      <c r="B96" s="200" t="str">
        <f>'PLANILHA ORÇAMENTÁRIA'!B72</f>
        <v>1.6.1</v>
      </c>
      <c r="C96" s="200" t="str">
        <f>'PLANILHA ORÇAMENTÁRIA'!C72</f>
        <v>SICRO</v>
      </c>
      <c r="D96" s="200" t="str">
        <f>'PLANILHA ORÇAMENTÁRIA'!D72</f>
        <v>5213403</v>
      </c>
      <c r="E96" s="23" t="str">
        <f>'PLANILHA ORÇAMENTÁRIA'!E72</f>
        <v>Pintura de faixa com tinta acrílica emulsionada em água - espessura de 0,5 mm</v>
      </c>
      <c r="F96" s="200" t="str">
        <f>'PLANILHA ORÇAMENTÁRIA'!F72</f>
        <v>M2</v>
      </c>
      <c r="G96" s="20">
        <f>M96</f>
        <v>35.340000000000003</v>
      </c>
      <c r="H96" s="230" t="s">
        <v>324</v>
      </c>
      <c r="I96" s="231"/>
      <c r="J96" s="232"/>
      <c r="M96" s="220">
        <f>(0.1*(11.9+20.8+14.1))+(0.3*3.4*3)+(((6.9*4)/2)*2)</f>
        <v>35.340000000000003</v>
      </c>
      <c r="N96" s="221"/>
      <c r="O96" s="222"/>
    </row>
    <row r="97" spans="2:15" ht="28.8" x14ac:dyDescent="0.3">
      <c r="B97" s="200" t="str">
        <f>'PLANILHA ORÇAMENTÁRIA'!B73</f>
        <v>1.6.2</v>
      </c>
      <c r="C97" s="200" t="str">
        <f>'PLANILHA ORÇAMENTÁRIA'!C73</f>
        <v>SICRO</v>
      </c>
      <c r="D97" s="200" t="str">
        <f>'PLANILHA ORÇAMENTÁRIA'!D73</f>
        <v>5213464</v>
      </c>
      <c r="E97" s="23" t="str">
        <f>'PLANILHA ORÇAMENTÁRIA'!E73</f>
        <v>Placa de advertência em aço, lado de 0,60 m - película retrorrefletiva tipo I + SI - fornecimento e implantação</v>
      </c>
      <c r="F97" s="200" t="str">
        <f>'PLANILHA ORÇAMENTÁRIA'!F73</f>
        <v>un</v>
      </c>
      <c r="G97" s="20">
        <f t="shared" ref="G97:G98" si="10">M97</f>
        <v>3</v>
      </c>
      <c r="H97" s="223" t="s">
        <v>325</v>
      </c>
      <c r="I97" s="221"/>
      <c r="J97" s="222"/>
      <c r="M97" s="220">
        <v>3</v>
      </c>
      <c r="N97" s="221"/>
      <c r="O97" s="222"/>
    </row>
    <row r="98" spans="2:15" ht="43.2" x14ac:dyDescent="0.3">
      <c r="B98" s="200" t="str">
        <f>'PLANILHA ORÇAMENTÁRIA'!B74</f>
        <v>1.6.3</v>
      </c>
      <c r="C98" s="200" t="str">
        <f>'PLANILHA ORÇAMENTÁRIA'!C74</f>
        <v>SICRO</v>
      </c>
      <c r="D98" s="200" t="str">
        <f>'PLANILHA ORÇAMENTÁRIA'!D74</f>
        <v>5213863</v>
      </c>
      <c r="E98" s="23" t="str">
        <f>'PLANILHA ORÇAMENTÁRIA'!E74</f>
        <v>Suporte metálico galvanizado para placa de advertência ou regulamentação - lado ou diâmetro de 0,60 m - fornecimento e implantação</v>
      </c>
      <c r="F98" s="200" t="str">
        <f>'PLANILHA ORÇAMENTÁRIA'!F74</f>
        <v>UND</v>
      </c>
      <c r="G98" s="20">
        <f t="shared" si="10"/>
        <v>3</v>
      </c>
      <c r="H98" s="223" t="s">
        <v>325</v>
      </c>
      <c r="I98" s="221"/>
      <c r="J98" s="222"/>
      <c r="M98" s="220">
        <v>3</v>
      </c>
      <c r="N98" s="221"/>
      <c r="O98" s="222"/>
    </row>
    <row r="99" spans="2:15" x14ac:dyDescent="0.3">
      <c r="B99" s="200"/>
      <c r="C99" s="200"/>
      <c r="D99" s="200"/>
      <c r="E99" s="23"/>
      <c r="F99" s="200"/>
      <c r="G99" s="20"/>
      <c r="H99" s="223"/>
      <c r="I99" s="221"/>
      <c r="J99" s="222"/>
    </row>
    <row r="100" spans="2:15" x14ac:dyDescent="0.3">
      <c r="B100" s="200" t="str">
        <f>'PLANILHA ORÇAMENTÁRIA'!B76</f>
        <v>1.7</v>
      </c>
      <c r="C100" s="200"/>
      <c r="D100" s="200"/>
      <c r="E100" s="23" t="str">
        <f>'PLANILHA ORÇAMENTÁRIA'!E76</f>
        <v>ADMINISTRAÇÃO LOCAL</v>
      </c>
      <c r="F100" s="200"/>
      <c r="G100" s="20"/>
      <c r="H100" s="223"/>
      <c r="I100" s="221"/>
      <c r="J100" s="222"/>
    </row>
    <row r="101" spans="2:15" ht="65.400000000000006" customHeight="1" x14ac:dyDescent="0.3">
      <c r="B101" s="200" t="str">
        <f>'PLANILHA ORÇAMENTÁRIA'!B77</f>
        <v>1.7.1</v>
      </c>
      <c r="C101" s="200" t="str">
        <f>'PLANILHA ORÇAMENTÁRIA'!C77</f>
        <v>SINAPI</v>
      </c>
      <c r="D101" s="200" t="str">
        <f>'PLANILHA ORÇAMENTÁRIA'!D77</f>
        <v>93572</v>
      </c>
      <c r="E101" s="129" t="str">
        <f>'PLANILHA ORÇAMENTÁRIA'!E77</f>
        <v>ENCARREGADO GERAL DE OBRAS COM ENCARGOS COMPLEMENTARES</v>
      </c>
      <c r="F101" s="200" t="str">
        <f>'PLANILHA ORÇAMENTÁRIA'!F77</f>
        <v>MÊS</v>
      </c>
      <c r="G101" s="20">
        <f>M101</f>
        <v>1.1200000000000001</v>
      </c>
      <c r="H101" s="245" t="s">
        <v>326</v>
      </c>
      <c r="I101" s="231"/>
      <c r="J101" s="232"/>
      <c r="M101" s="220">
        <v>1.1200000000000001</v>
      </c>
      <c r="N101" s="221"/>
      <c r="O101" s="222"/>
    </row>
    <row r="102" spans="2:15" x14ac:dyDescent="0.3">
      <c r="B102" s="200"/>
      <c r="C102" s="200"/>
      <c r="D102" s="200"/>
      <c r="E102" s="23"/>
      <c r="F102" s="200"/>
      <c r="G102" s="20"/>
      <c r="H102" s="223"/>
      <c r="I102" s="221"/>
      <c r="J102" s="222"/>
    </row>
    <row r="103" spans="2:15" x14ac:dyDescent="0.3">
      <c r="B103" s="19"/>
      <c r="C103" s="19"/>
      <c r="D103" s="19"/>
      <c r="E103" s="23"/>
      <c r="F103" s="19"/>
      <c r="G103" s="20"/>
      <c r="H103" s="223"/>
      <c r="I103" s="221"/>
      <c r="J103" s="222"/>
    </row>
    <row r="106" spans="2:15" x14ac:dyDescent="0.3">
      <c r="B106" s="112" t="str">
        <f>'PLANILHA ORÇAMENTÁRIA'!B83</f>
        <v>DATA:</v>
      </c>
    </row>
    <row r="110" spans="2:15" x14ac:dyDescent="0.3">
      <c r="B110" s="112" t="str">
        <f>'PLANILHA ORÇAMENTÁRIA'!B87</f>
        <v>XXXXXXXXXXXXXXXXX</v>
      </c>
    </row>
    <row r="111" spans="2:15" x14ac:dyDescent="0.3">
      <c r="B111" s="112" t="str">
        <f>'PLANILHA ORÇAMENTÁRIA'!B88</f>
        <v>REPRESENTANTE LEGAL</v>
      </c>
    </row>
    <row r="112" spans="2:15" x14ac:dyDescent="0.3">
      <c r="B112" s="112" t="str">
        <f>'PLANILHA ORÇAMENTÁRIA'!B89</f>
        <v>NOME DA EMPRESA LICITANTE</v>
      </c>
    </row>
  </sheetData>
  <mergeCells count="156">
    <mergeCell ref="B3:J3"/>
    <mergeCell ref="H98:J98"/>
    <mergeCell ref="H99:J99"/>
    <mergeCell ref="H100:J100"/>
    <mergeCell ref="H101:J101"/>
    <mergeCell ref="H102:J102"/>
    <mergeCell ref="M96:O96"/>
    <mergeCell ref="M97:O97"/>
    <mergeCell ref="M98:O98"/>
    <mergeCell ref="M101:O101"/>
    <mergeCell ref="H54:J54"/>
    <mergeCell ref="H55:J55"/>
    <mergeCell ref="H56:J56"/>
    <mergeCell ref="H57:J57"/>
    <mergeCell ref="M54:O54"/>
    <mergeCell ref="M55:O55"/>
    <mergeCell ref="M56:O56"/>
    <mergeCell ref="M57:O57"/>
    <mergeCell ref="H90:J90"/>
    <mergeCell ref="M77:O77"/>
    <mergeCell ref="M78:O78"/>
    <mergeCell ref="M79:O79"/>
    <mergeCell ref="M80:O80"/>
    <mergeCell ref="M61:O61"/>
    <mergeCell ref="M62:O62"/>
    <mergeCell ref="M66:O66"/>
    <mergeCell ref="M67:O67"/>
    <mergeCell ref="M69:O69"/>
    <mergeCell ref="M70:O70"/>
    <mergeCell ref="M71:O71"/>
    <mergeCell ref="M72:O72"/>
    <mergeCell ref="M73:O73"/>
    <mergeCell ref="M63:O63"/>
    <mergeCell ref="M64:O64"/>
    <mergeCell ref="H103:J103"/>
    <mergeCell ref="M83:O83"/>
    <mergeCell ref="M84:O84"/>
    <mergeCell ref="M85:O85"/>
    <mergeCell ref="M86:O86"/>
    <mergeCell ref="M87:O87"/>
    <mergeCell ref="M88:O88"/>
    <mergeCell ref="M89:O89"/>
    <mergeCell ref="H88:J88"/>
    <mergeCell ref="H89:J89"/>
    <mergeCell ref="H83:J83"/>
    <mergeCell ref="H84:J84"/>
    <mergeCell ref="H85:J85"/>
    <mergeCell ref="H86:J86"/>
    <mergeCell ref="H87:J87"/>
    <mergeCell ref="H91:J91"/>
    <mergeCell ref="H92:J92"/>
    <mergeCell ref="H93:J93"/>
    <mergeCell ref="H94:J94"/>
    <mergeCell ref="M92:O92"/>
    <mergeCell ref="M93:O93"/>
    <mergeCell ref="H95:J95"/>
    <mergeCell ref="H96:J96"/>
    <mergeCell ref="H97:J97"/>
    <mergeCell ref="H77:J77"/>
    <mergeCell ref="H78:J78"/>
    <mergeCell ref="H79:J79"/>
    <mergeCell ref="H80:J80"/>
    <mergeCell ref="H81:J81"/>
    <mergeCell ref="H59:J59"/>
    <mergeCell ref="H74:J74"/>
    <mergeCell ref="H75:J75"/>
    <mergeCell ref="M76:O76"/>
    <mergeCell ref="H71:J71"/>
    <mergeCell ref="H72:J72"/>
    <mergeCell ref="H73:J73"/>
    <mergeCell ref="H67:J67"/>
    <mergeCell ref="M68:O68"/>
    <mergeCell ref="H69:J69"/>
    <mergeCell ref="H70:J70"/>
    <mergeCell ref="H60:J60"/>
    <mergeCell ref="H61:J61"/>
    <mergeCell ref="H62:J62"/>
    <mergeCell ref="H66:J66"/>
    <mergeCell ref="H76:J76"/>
    <mergeCell ref="H68:J68"/>
    <mergeCell ref="H63:J63"/>
    <mergeCell ref="H64:J64"/>
    <mergeCell ref="H38:J38"/>
    <mergeCell ref="M38:O38"/>
    <mergeCell ref="H39:J39"/>
    <mergeCell ref="H51:J51"/>
    <mergeCell ref="M47:O47"/>
    <mergeCell ref="M48:O48"/>
    <mergeCell ref="M49:O49"/>
    <mergeCell ref="M50:O50"/>
    <mergeCell ref="M51:O51"/>
    <mergeCell ref="H49:J49"/>
    <mergeCell ref="M39:O39"/>
    <mergeCell ref="M41:O41"/>
    <mergeCell ref="H47:J47"/>
    <mergeCell ref="H48:J48"/>
    <mergeCell ref="H50:J50"/>
    <mergeCell ref="H53:J53"/>
    <mergeCell ref="M20:O20"/>
    <mergeCell ref="M53:O53"/>
    <mergeCell ref="H52:J52"/>
    <mergeCell ref="M52:O52"/>
    <mergeCell ref="H32:J32"/>
    <mergeCell ref="H35:J35"/>
    <mergeCell ref="H27:J27"/>
    <mergeCell ref="M27:O27"/>
    <mergeCell ref="H28:J28"/>
    <mergeCell ref="M28:O28"/>
    <mergeCell ref="M26:O26"/>
    <mergeCell ref="H25:J25"/>
    <mergeCell ref="H26:J26"/>
    <mergeCell ref="H33:J33"/>
    <mergeCell ref="M33:O33"/>
    <mergeCell ref="H40:J40"/>
    <mergeCell ref="H34:J34"/>
    <mergeCell ref="H29:J29"/>
    <mergeCell ref="M29:O29"/>
    <mergeCell ref="H30:J30"/>
    <mergeCell ref="M30:O30"/>
    <mergeCell ref="H31:J31"/>
    <mergeCell ref="M37:O37"/>
    <mergeCell ref="M17:O17"/>
    <mergeCell ref="M42:O42"/>
    <mergeCell ref="M43:O43"/>
    <mergeCell ref="M44:O44"/>
    <mergeCell ref="M45:O45"/>
    <mergeCell ref="M46:O46"/>
    <mergeCell ref="H41:J41"/>
    <mergeCell ref="H42:J42"/>
    <mergeCell ref="H43:J43"/>
    <mergeCell ref="H44:J44"/>
    <mergeCell ref="H45:J45"/>
    <mergeCell ref="H46:J46"/>
    <mergeCell ref="H22:J22"/>
    <mergeCell ref="M18:O18"/>
    <mergeCell ref="H21:J21"/>
    <mergeCell ref="M25:O25"/>
    <mergeCell ref="M23:O23"/>
    <mergeCell ref="H24:J24"/>
    <mergeCell ref="M24:O24"/>
    <mergeCell ref="H23:J23"/>
    <mergeCell ref="H20:J20"/>
    <mergeCell ref="H36:J36"/>
    <mergeCell ref="M36:O36"/>
    <mergeCell ref="H37:J37"/>
    <mergeCell ref="H15:J15"/>
    <mergeCell ref="H16:J16"/>
    <mergeCell ref="H17:J17"/>
    <mergeCell ref="H18:J18"/>
    <mergeCell ref="H19:J19"/>
    <mergeCell ref="H14:J14"/>
    <mergeCell ref="B7:J7"/>
    <mergeCell ref="B9:J9"/>
    <mergeCell ref="B10:J10"/>
    <mergeCell ref="H12:J12"/>
    <mergeCell ref="H13:J13"/>
  </mergeCells>
  <conditionalFormatting sqref="E75 E77:E80 E82:E89 B75:B80 B82:B89">
    <cfRule type="expression" dxfId="46" priority="87" stopIfTrue="1">
      <formula>#REF!=1</formula>
    </cfRule>
    <cfRule type="expression" dxfId="45" priority="88" stopIfTrue="1">
      <formula>OR(#REF!=0,#REF!=2,#REF!=3,#REF!=4)</formula>
    </cfRule>
  </conditionalFormatting>
  <conditionalFormatting sqref="C75:D75 C82:D86 F83:F87 F89 F76:F80">
    <cfRule type="expression" dxfId="44" priority="89" stopIfTrue="1">
      <formula>#REF!=1</formula>
    </cfRule>
    <cfRule type="expression" dxfId="43" priority="90" stopIfTrue="1">
      <formula>OR(#REF!=0,#REF!=2,#REF!=3,#REF!=4)</formula>
    </cfRule>
  </conditionalFormatting>
  <conditionalFormatting sqref="F75">
    <cfRule type="expression" dxfId="42" priority="85" stopIfTrue="1">
      <formula>#REF!=1</formula>
    </cfRule>
    <cfRule type="expression" dxfId="41" priority="86" stopIfTrue="1">
      <formula>OR(#REF!=0,#REF!=2,#REF!=3,#REF!=4)</formula>
    </cfRule>
  </conditionalFormatting>
  <conditionalFormatting sqref="C76:D76">
    <cfRule type="expression" dxfId="40" priority="83" stopIfTrue="1">
      <formula>#REF!=1</formula>
    </cfRule>
    <cfRule type="expression" dxfId="39" priority="84" stopIfTrue="1">
      <formula>OR(#REF!=0,#REF!=2,#REF!=3,#REF!=4)</formula>
    </cfRule>
  </conditionalFormatting>
  <conditionalFormatting sqref="E76">
    <cfRule type="expression" dxfId="38" priority="81" stopIfTrue="1">
      <formula>#REF!=1</formula>
    </cfRule>
    <cfRule type="expression" dxfId="37" priority="82" stopIfTrue="1">
      <formula>OR(#REF!=0,#REF!=2,#REF!=3,#REF!=4)</formula>
    </cfRule>
  </conditionalFormatting>
  <conditionalFormatting sqref="C77:D80">
    <cfRule type="expression" dxfId="36" priority="79" stopIfTrue="1">
      <formula>#REF!=1</formula>
    </cfRule>
    <cfRule type="expression" dxfId="35" priority="80" stopIfTrue="1">
      <formula>OR(#REF!=0,#REF!=2,#REF!=3,#REF!=4)</formula>
    </cfRule>
  </conditionalFormatting>
  <conditionalFormatting sqref="F88">
    <cfRule type="expression" dxfId="34" priority="77" stopIfTrue="1">
      <formula>#REF!=1</formula>
    </cfRule>
    <cfRule type="expression" dxfId="33" priority="78" stopIfTrue="1">
      <formula>OR(#REF!=0,#REF!=2,#REF!=3,#REF!=4)</formula>
    </cfRule>
  </conditionalFormatting>
  <conditionalFormatting sqref="F82">
    <cfRule type="expression" dxfId="32" priority="75" stopIfTrue="1">
      <formula>#REF!=1</formula>
    </cfRule>
    <cfRule type="expression" dxfId="31" priority="76" stopIfTrue="1">
      <formula>OR(#REF!=0,#REF!=2,#REF!=3,#REF!=4)</formula>
    </cfRule>
  </conditionalFormatting>
  <conditionalFormatting sqref="C89">
    <cfRule type="expression" dxfId="30" priority="73" stopIfTrue="1">
      <formula>#REF!=1</formula>
    </cfRule>
    <cfRule type="expression" dxfId="29" priority="74" stopIfTrue="1">
      <formula>OR(#REF!=0,#REF!=2,#REF!=3,#REF!=4)</formula>
    </cfRule>
  </conditionalFormatting>
  <conditionalFormatting sqref="D89">
    <cfRule type="expression" dxfId="28" priority="71" stopIfTrue="1">
      <formula>#REF!=1</formula>
    </cfRule>
    <cfRule type="expression" dxfId="27" priority="72" stopIfTrue="1">
      <formula>OR(#REF!=0,#REF!=2,#REF!=3,#REF!=4)</formula>
    </cfRule>
  </conditionalFormatting>
  <conditionalFormatting sqref="C88:D88">
    <cfRule type="expression" dxfId="26" priority="67" stopIfTrue="1">
      <formula>#REF!=1</formula>
    </cfRule>
    <cfRule type="expression" dxfId="25" priority="68" stopIfTrue="1">
      <formula>OR(#REF!=0,#REF!=2,#REF!=3,#REF!=4)</formula>
    </cfRule>
  </conditionalFormatting>
  <conditionalFormatting sqref="C87:D87">
    <cfRule type="expression" dxfId="24" priority="65" stopIfTrue="1">
      <formula>#REF!=1</formula>
    </cfRule>
    <cfRule type="expression" dxfId="23" priority="66" stopIfTrue="1">
      <formula>OR(#REF!=0,#REF!=2,#REF!=3,#REF!=4)</formula>
    </cfRule>
  </conditionalFormatting>
  <conditionalFormatting sqref="E91 B91">
    <cfRule type="expression" dxfId="22" priority="22" stopIfTrue="1">
      <formula>#REF!=1</formula>
    </cfRule>
    <cfRule type="expression" dxfId="21" priority="23" stopIfTrue="1">
      <formula>OR(#REF!=0,#REF!=2,#REF!=3,#REF!=4)</formula>
    </cfRule>
  </conditionalFormatting>
  <conditionalFormatting sqref="C91:D91">
    <cfRule type="expression" dxfId="20" priority="24" stopIfTrue="1">
      <formula>#REF!=1</formula>
    </cfRule>
    <cfRule type="expression" dxfId="19" priority="25" stopIfTrue="1">
      <formula>OR(#REF!=0,#REF!=2,#REF!=3,#REF!=4)</formula>
    </cfRule>
  </conditionalFormatting>
  <conditionalFormatting sqref="F91">
    <cfRule type="expression" dxfId="18" priority="20" stopIfTrue="1">
      <formula>#REF!=1</formula>
    </cfRule>
    <cfRule type="expression" dxfId="17" priority="21" stopIfTrue="1">
      <formula>OR(#REF!=0,#REF!=2,#REF!=3,#REF!=4)</formula>
    </cfRule>
  </conditionalFormatting>
  <conditionalFormatting sqref="E92 B92">
    <cfRule type="expression" dxfId="16" priority="16" stopIfTrue="1">
      <formula>#REF!=1</formula>
    </cfRule>
    <cfRule type="expression" dxfId="15" priority="17" stopIfTrue="1">
      <formula>OR(#REF!=0,#REF!=2,#REF!=3,#REF!=4)</formula>
    </cfRule>
  </conditionalFormatting>
  <conditionalFormatting sqref="F92">
    <cfRule type="expression" dxfId="14" priority="18" stopIfTrue="1">
      <formula>#REF!=1</formula>
    </cfRule>
    <cfRule type="expression" dxfId="13" priority="19" stopIfTrue="1">
      <formula>OR(#REF!=0,#REF!=2,#REF!=3,#REF!=4)</formula>
    </cfRule>
  </conditionalFormatting>
  <conditionalFormatting sqref="C92">
    <cfRule type="expression" dxfId="12" priority="14" stopIfTrue="1">
      <formula>#REF!=1</formula>
    </cfRule>
    <cfRule type="expression" dxfId="11" priority="15" stopIfTrue="1">
      <formula>OR(#REF!=0,#REF!=2,#REF!=3,#REF!=4)</formula>
    </cfRule>
  </conditionalFormatting>
  <conditionalFormatting sqref="D92">
    <cfRule type="expression" dxfId="10" priority="12" stopIfTrue="1">
      <formula>#REF!=1</formula>
    </cfRule>
    <cfRule type="expression" dxfId="9" priority="13" stopIfTrue="1">
      <formula>OR(#REF!=0,#REF!=2,#REF!=3,#REF!=4)</formula>
    </cfRule>
  </conditionalFormatting>
  <conditionalFormatting sqref="E93 B93">
    <cfRule type="expression" dxfId="8" priority="5" stopIfTrue="1">
      <formula>#REF!=1</formula>
    </cfRule>
    <cfRule type="expression" dxfId="7" priority="6" stopIfTrue="1">
      <formula>OR(#REF!=0,#REF!=2,#REF!=3,#REF!=4)</formula>
    </cfRule>
  </conditionalFormatting>
  <conditionalFormatting sqref="F93">
    <cfRule type="expression" dxfId="6" priority="7" stopIfTrue="1">
      <formula>#REF!=1</formula>
    </cfRule>
    <cfRule type="expression" dxfId="5" priority="8" stopIfTrue="1">
      <formula>OR(#REF!=0,#REF!=2,#REF!=3,#REF!=4)</formula>
    </cfRule>
  </conditionalFormatting>
  <conditionalFormatting sqref="C93">
    <cfRule type="expression" dxfId="4" priority="3" stopIfTrue="1">
      <formula>#REF!=1</formula>
    </cfRule>
    <cfRule type="expression" dxfId="3" priority="4" stopIfTrue="1">
      <formula>OR(#REF!=0,#REF!=2,#REF!=3,#REF!=4)</formula>
    </cfRule>
  </conditionalFormatting>
  <conditionalFormatting sqref="D93">
    <cfRule type="expression" dxfId="2" priority="1" stopIfTrue="1">
      <formula>#REF!=1</formula>
    </cfRule>
    <cfRule type="expression" dxfId="1" priority="2" stopIfTrue="1">
      <formula>OR(#REF!=0,#REF!=2,#REF!=3,#REF!=4)</formula>
    </cfRule>
  </conditionalFormatting>
  <dataValidations count="1">
    <dataValidation type="list" allowBlank="1" sqref="C75:C80 C82:C89 C91:C93" xr:uid="{6FD60AD4-AA9C-4166-99F2-880AE109719D}">
      <formula1>"SINAPI,SINAPI-I,SICRO,Composição,Cotação"</formula1>
      <formula2>0</formula2>
    </dataValidation>
  </dataValidations>
  <pageMargins left="0.51181102362204722" right="0.51181102362204722" top="0.78740157480314965" bottom="0.78740157480314965" header="0.31496062992125984" footer="0.31496062992125984"/>
  <pageSetup paperSize="9" scale="80" orientation="landscape" horizontalDpi="360" verticalDpi="360" r:id="rId1"/>
  <headerFooter>
    <oddFooter xml:space="preserve">&amp;C
&amp;P/&amp;N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64F8C-9927-4DBE-92F6-2A78553780DB}">
  <dimension ref="A1:K62"/>
  <sheetViews>
    <sheetView topLeftCell="A31" workbookViewId="0">
      <selection activeCell="C52" sqref="C52"/>
    </sheetView>
  </sheetViews>
  <sheetFormatPr defaultColWidth="11.44140625" defaultRowHeight="12" x14ac:dyDescent="0.25"/>
  <cols>
    <col min="1" max="3" width="11.44140625" style="1"/>
    <col min="4" max="4" width="16.88671875" style="1" customWidth="1"/>
    <col min="5" max="5" width="13.77734375" style="1" customWidth="1"/>
    <col min="6" max="6" width="10.33203125" style="1" bestFit="1" customWidth="1"/>
    <col min="7" max="7" width="11.44140625" style="1"/>
    <col min="8" max="8" width="11.5546875" style="1" customWidth="1"/>
    <col min="9" max="16384" width="11.44140625" style="1"/>
  </cols>
  <sheetData>
    <row r="1" spans="1:11" ht="13.8" x14ac:dyDescent="0.3"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3.8" x14ac:dyDescent="0.3">
      <c r="A2" s="3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3.8" x14ac:dyDescent="0.3">
      <c r="A3" s="3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33.6" x14ac:dyDescent="0.65">
      <c r="A4" s="3"/>
      <c r="B4" s="315" t="str">
        <f>'PLANILHA ORÇAMENTÁRIA'!B3</f>
        <v>TIMBRADO LICITANTE</v>
      </c>
      <c r="C4" s="315"/>
      <c r="D4" s="315"/>
      <c r="E4" s="315"/>
      <c r="F4" s="315"/>
      <c r="G4" s="315"/>
      <c r="H4" s="315"/>
      <c r="I4" s="315"/>
      <c r="J4" s="315"/>
      <c r="K4" s="315"/>
    </row>
    <row r="5" spans="1:11" ht="13.8" x14ac:dyDescent="0.3">
      <c r="A5" s="3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13.8" x14ac:dyDescent="0.3">
      <c r="A6" s="3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3.8" x14ac:dyDescent="0.3">
      <c r="A7" s="3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23.4" x14ac:dyDescent="0.45">
      <c r="A8" s="3"/>
      <c r="B8" s="248" t="s">
        <v>73</v>
      </c>
      <c r="C8" s="248"/>
      <c r="D8" s="248"/>
      <c r="E8" s="248"/>
      <c r="F8" s="248"/>
      <c r="G8" s="248"/>
      <c r="H8" s="248"/>
      <c r="I8" s="248"/>
      <c r="J8" s="248"/>
      <c r="K8" s="248"/>
    </row>
    <row r="9" spans="1:11" s="38" customFormat="1" ht="14.4" x14ac:dyDescent="0.3">
      <c r="A9" s="36"/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1" s="38" customFormat="1" ht="14.4" x14ac:dyDescent="0.3">
      <c r="A10" s="36"/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11" s="38" customFormat="1" ht="14.4" x14ac:dyDescent="0.3">
      <c r="A11" s="36"/>
      <c r="B11" s="49" t="str">
        <f>'PLANILHA ORÇAMENTÁRIA'!B9</f>
        <v>OBJETO: EXECUÇÃO DE OBRAS DE INFRAESTRUTURA EM VIA URBANA</v>
      </c>
      <c r="C11" s="50"/>
      <c r="D11" s="50"/>
      <c r="E11" s="50"/>
      <c r="F11" s="50"/>
      <c r="G11" s="50"/>
      <c r="H11" s="50"/>
      <c r="I11" s="50"/>
      <c r="J11" s="50"/>
      <c r="K11" s="50"/>
    </row>
    <row r="12" spans="1:11" s="38" customFormat="1" ht="14.4" x14ac:dyDescent="0.3">
      <c r="A12" s="36"/>
      <c r="B12" s="49" t="str">
        <f>'PLANILHA ORÇAMENTÁRIA'!B10</f>
        <v>LOCAL: AV. BIAS FORTES, CENTRO, IBERTIOGA-MG</v>
      </c>
      <c r="C12" s="50"/>
      <c r="D12" s="50"/>
      <c r="E12" s="50"/>
      <c r="F12" s="50"/>
      <c r="G12" s="50"/>
      <c r="H12" s="50"/>
      <c r="I12" s="50"/>
      <c r="J12" s="50"/>
      <c r="K12" s="50"/>
    </row>
    <row r="13" spans="1:11" s="38" customFormat="1" ht="14.4" x14ac:dyDescent="0.3">
      <c r="A13" s="36"/>
      <c r="B13" s="49"/>
      <c r="C13" s="50"/>
      <c r="D13" s="50"/>
      <c r="E13" s="50"/>
      <c r="F13" s="50"/>
      <c r="G13" s="50"/>
      <c r="H13" s="50"/>
      <c r="I13" s="50"/>
      <c r="J13" s="50"/>
      <c r="K13" s="50"/>
    </row>
    <row r="14" spans="1:11" s="38" customFormat="1" ht="14.4" x14ac:dyDescent="0.3">
      <c r="A14" s="36"/>
      <c r="B14" s="35"/>
      <c r="C14" s="35"/>
      <c r="D14" s="35"/>
      <c r="E14" s="35"/>
      <c r="F14" s="35"/>
      <c r="G14" s="35"/>
      <c r="H14" s="35"/>
      <c r="I14" s="35"/>
      <c r="J14" s="35"/>
      <c r="K14" s="35"/>
    </row>
    <row r="15" spans="1:11" x14ac:dyDescent="0.25">
      <c r="B15" s="265" t="s">
        <v>0</v>
      </c>
      <c r="C15" s="265"/>
      <c r="D15" s="265"/>
      <c r="E15" s="265"/>
      <c r="F15" s="265"/>
      <c r="G15" s="265"/>
      <c r="H15" s="265"/>
      <c r="I15" s="265"/>
      <c r="J15" s="266">
        <v>1</v>
      </c>
      <c r="K15" s="266"/>
    </row>
    <row r="16" spans="1:11" x14ac:dyDescent="0.25">
      <c r="B16" s="267" t="s">
        <v>1</v>
      </c>
      <c r="C16" s="267"/>
      <c r="D16" s="267"/>
      <c r="E16" s="267"/>
      <c r="F16" s="267"/>
      <c r="G16" s="267"/>
      <c r="H16" s="267"/>
      <c r="I16" s="267"/>
      <c r="J16" s="266">
        <v>0.03</v>
      </c>
      <c r="K16" s="266"/>
    </row>
    <row r="17" spans="1:11" x14ac:dyDescent="0.25"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x14ac:dyDescent="0.25"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1" ht="13.8" x14ac:dyDescent="0.25">
      <c r="A19" s="3"/>
      <c r="B19" s="249" t="s">
        <v>2</v>
      </c>
      <c r="C19" s="250"/>
      <c r="D19" s="250"/>
      <c r="E19" s="250"/>
      <c r="F19" s="250"/>
      <c r="G19" s="250"/>
      <c r="H19" s="250"/>
      <c r="I19" s="250"/>
      <c r="J19" s="250"/>
      <c r="K19" s="251"/>
    </row>
    <row r="20" spans="1:11" x14ac:dyDescent="0.25">
      <c r="A20" s="3"/>
      <c r="B20" s="268" t="s">
        <v>3</v>
      </c>
      <c r="C20" s="269"/>
      <c r="D20" s="269"/>
      <c r="E20" s="269"/>
      <c r="F20" s="269"/>
      <c r="G20" s="269"/>
      <c r="H20" s="269"/>
      <c r="I20" s="269"/>
      <c r="J20" s="269"/>
      <c r="K20" s="270"/>
    </row>
    <row r="21" spans="1:11" x14ac:dyDescent="0.25">
      <c r="A21" s="3"/>
      <c r="B21" s="39"/>
      <c r="C21" s="39"/>
      <c r="D21" s="39"/>
      <c r="E21" s="39"/>
      <c r="F21" s="39"/>
      <c r="G21" s="39"/>
      <c r="H21" s="39"/>
      <c r="I21" s="39"/>
      <c r="J21" s="39"/>
      <c r="K21" s="39"/>
    </row>
    <row r="22" spans="1:11" ht="14.4" x14ac:dyDescent="0.3">
      <c r="A22" s="3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x14ac:dyDescent="0.25">
      <c r="A23" s="3"/>
      <c r="B23" s="263" t="s">
        <v>4</v>
      </c>
      <c r="C23" s="263"/>
      <c r="D23" s="263"/>
      <c r="E23" s="263"/>
      <c r="F23" s="263"/>
      <c r="G23" s="263"/>
      <c r="H23" s="263"/>
      <c r="I23" s="263"/>
      <c r="J23" s="263" t="s">
        <v>5</v>
      </c>
      <c r="K23" s="264" t="s">
        <v>6</v>
      </c>
    </row>
    <row r="24" spans="1:11" x14ac:dyDescent="0.25">
      <c r="A24" s="3"/>
      <c r="B24" s="263"/>
      <c r="C24" s="263"/>
      <c r="D24" s="263"/>
      <c r="E24" s="263"/>
      <c r="F24" s="263"/>
      <c r="G24" s="263"/>
      <c r="H24" s="263"/>
      <c r="I24" s="263"/>
      <c r="J24" s="263"/>
      <c r="K24" s="264"/>
    </row>
    <row r="25" spans="1:11" ht="14.4" x14ac:dyDescent="0.25">
      <c r="A25" s="3"/>
      <c r="B25" s="262" t="s">
        <v>75</v>
      </c>
      <c r="C25" s="262"/>
      <c r="D25" s="262"/>
      <c r="E25" s="262"/>
      <c r="F25" s="262"/>
      <c r="G25" s="262"/>
      <c r="H25" s="262"/>
      <c r="I25" s="262"/>
      <c r="J25" s="26" t="s">
        <v>80</v>
      </c>
      <c r="K25" s="27">
        <v>4.0099999999999997E-2</v>
      </c>
    </row>
    <row r="26" spans="1:11" ht="14.4" x14ac:dyDescent="0.25">
      <c r="A26" s="3"/>
      <c r="B26" s="262" t="s">
        <v>76</v>
      </c>
      <c r="C26" s="262"/>
      <c r="D26" s="262"/>
      <c r="E26" s="262"/>
      <c r="F26" s="262"/>
      <c r="G26" s="262"/>
      <c r="H26" s="262"/>
      <c r="I26" s="262"/>
      <c r="J26" s="26" t="s">
        <v>81</v>
      </c>
      <c r="K26" s="27">
        <v>4.0000000000000001E-3</v>
      </c>
    </row>
    <row r="27" spans="1:11" ht="14.4" x14ac:dyDescent="0.25">
      <c r="A27" s="3"/>
      <c r="B27" s="262" t="s">
        <v>77</v>
      </c>
      <c r="C27" s="262"/>
      <c r="D27" s="262"/>
      <c r="E27" s="262"/>
      <c r="F27" s="262"/>
      <c r="G27" s="262"/>
      <c r="H27" s="262"/>
      <c r="I27" s="262"/>
      <c r="J27" s="26" t="s">
        <v>82</v>
      </c>
      <c r="K27" s="27">
        <v>5.5999999999999999E-3</v>
      </c>
    </row>
    <row r="28" spans="1:11" ht="14.4" x14ac:dyDescent="0.25">
      <c r="A28" s="3"/>
      <c r="B28" s="262" t="s">
        <v>78</v>
      </c>
      <c r="C28" s="262"/>
      <c r="D28" s="262"/>
      <c r="E28" s="262"/>
      <c r="F28" s="262"/>
      <c r="G28" s="262"/>
      <c r="H28" s="262"/>
      <c r="I28" s="262"/>
      <c r="J28" s="26" t="s">
        <v>83</v>
      </c>
      <c r="K28" s="27">
        <v>1.11E-2</v>
      </c>
    </row>
    <row r="29" spans="1:11" ht="14.4" x14ac:dyDescent="0.25">
      <c r="A29" s="3"/>
      <c r="B29" s="262" t="s">
        <v>79</v>
      </c>
      <c r="C29" s="262"/>
      <c r="D29" s="262"/>
      <c r="E29" s="262"/>
      <c r="F29" s="262"/>
      <c r="G29" s="262"/>
      <c r="H29" s="262"/>
      <c r="I29" s="262"/>
      <c r="J29" s="26" t="s">
        <v>84</v>
      </c>
      <c r="K29" s="27">
        <v>7.2999999999999995E-2</v>
      </c>
    </row>
    <row r="30" spans="1:11" ht="14.4" x14ac:dyDescent="0.25">
      <c r="A30" s="3"/>
      <c r="B30" s="262" t="s">
        <v>7</v>
      </c>
      <c r="C30" s="262"/>
      <c r="D30" s="262"/>
      <c r="E30" s="262"/>
      <c r="F30" s="262"/>
      <c r="G30" s="262"/>
      <c r="H30" s="262"/>
      <c r="I30" s="262"/>
      <c r="J30" s="26" t="s">
        <v>11</v>
      </c>
      <c r="K30" s="27">
        <v>3.6499999999999998E-2</v>
      </c>
    </row>
    <row r="31" spans="1:11" ht="14.4" x14ac:dyDescent="0.25">
      <c r="A31" s="3"/>
      <c r="B31" s="262" t="s">
        <v>8</v>
      </c>
      <c r="C31" s="262"/>
      <c r="D31" s="262"/>
      <c r="E31" s="262"/>
      <c r="F31" s="262"/>
      <c r="G31" s="262"/>
      <c r="H31" s="262"/>
      <c r="I31" s="262"/>
      <c r="J31" s="26" t="s">
        <v>9</v>
      </c>
      <c r="K31" s="28">
        <v>0.03</v>
      </c>
    </row>
    <row r="32" spans="1:11" ht="14.4" x14ac:dyDescent="0.25">
      <c r="A32" s="3"/>
      <c r="B32" s="262" t="s">
        <v>10</v>
      </c>
      <c r="C32" s="262"/>
      <c r="D32" s="262"/>
      <c r="E32" s="262"/>
      <c r="F32" s="262"/>
      <c r="G32" s="262"/>
      <c r="H32" s="262"/>
      <c r="I32" s="262"/>
      <c r="J32" s="26" t="s">
        <v>11</v>
      </c>
      <c r="K32" s="28">
        <v>0</v>
      </c>
    </row>
    <row r="33" spans="1:11" ht="14.4" x14ac:dyDescent="0.25">
      <c r="A33" s="3"/>
      <c r="B33" s="256" t="s">
        <v>12</v>
      </c>
      <c r="C33" s="256"/>
      <c r="D33" s="256"/>
      <c r="E33" s="256"/>
      <c r="F33" s="256"/>
      <c r="G33" s="256"/>
      <c r="H33" s="256"/>
      <c r="I33" s="256"/>
      <c r="J33" s="29" t="s">
        <v>13</v>
      </c>
      <c r="K33" s="30">
        <v>0.22</v>
      </c>
    </row>
    <row r="34" spans="1:11" ht="14.4" x14ac:dyDescent="0.3">
      <c r="A34" s="3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ht="14.4" x14ac:dyDescent="0.3">
      <c r="A35" s="3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ht="14.4" x14ac:dyDescent="0.25">
      <c r="A36" s="3"/>
      <c r="B36" s="257" t="s">
        <v>14</v>
      </c>
      <c r="C36" s="257"/>
      <c r="D36" s="257"/>
      <c r="E36" s="257"/>
      <c r="F36" s="257"/>
      <c r="G36" s="257"/>
      <c r="H36" s="257"/>
      <c r="I36" s="257"/>
      <c r="J36" s="257"/>
      <c r="K36" s="257"/>
    </row>
    <row r="37" spans="1:11" ht="15.6" x14ac:dyDescent="0.3">
      <c r="A37" s="3"/>
      <c r="B37" s="7"/>
      <c r="C37" s="7"/>
      <c r="D37" s="7"/>
      <c r="E37" s="258" t="s">
        <v>15</v>
      </c>
      <c r="F37" s="259" t="str">
        <f>IF($J20=$A$144,"(1+K1+K2)*(1+K3)","(1+AC + S + R + G)*(1 + DF)*(1+L)")</f>
        <v>(1+K1+K2)*(1+K3)</v>
      </c>
      <c r="G37" s="259"/>
      <c r="H37" s="259"/>
      <c r="I37" s="260" t="s">
        <v>16</v>
      </c>
      <c r="J37" s="7"/>
      <c r="K37" s="7"/>
    </row>
    <row r="38" spans="1:11" ht="15.6" x14ac:dyDescent="0.25">
      <c r="A38" s="3"/>
      <c r="B38" s="7"/>
      <c r="C38" s="7"/>
      <c r="D38" s="7"/>
      <c r="E38" s="258"/>
      <c r="F38" s="261" t="s">
        <v>17</v>
      </c>
      <c r="G38" s="261"/>
      <c r="H38" s="261"/>
      <c r="I38" s="260"/>
      <c r="J38" s="7"/>
      <c r="K38" s="7"/>
    </row>
    <row r="39" spans="1:11" ht="13.8" x14ac:dyDescent="0.25">
      <c r="A39" s="3"/>
      <c r="B39" s="31"/>
      <c r="C39" s="31"/>
      <c r="D39" s="31"/>
      <c r="E39" s="31"/>
      <c r="F39" s="31"/>
      <c r="G39" s="31"/>
      <c r="H39" s="31"/>
      <c r="I39" s="31"/>
      <c r="J39" s="31"/>
      <c r="K39" s="31"/>
    </row>
    <row r="40" spans="1:11" ht="14.4" x14ac:dyDescent="0.3">
      <c r="A40" s="3"/>
      <c r="B40" s="6" t="s">
        <v>18</v>
      </c>
      <c r="C40" s="6"/>
      <c r="D40" s="6"/>
      <c r="E40" s="6"/>
      <c r="F40" s="6"/>
      <c r="G40" s="6"/>
      <c r="H40" s="6"/>
      <c r="I40" s="6"/>
      <c r="J40" s="6"/>
      <c r="K40" s="6"/>
    </row>
    <row r="41" spans="1:11" ht="14.4" x14ac:dyDescent="0.25">
      <c r="A41" s="3"/>
      <c r="B41" s="252"/>
      <c r="C41" s="252"/>
      <c r="D41" s="252"/>
      <c r="E41" s="252"/>
      <c r="F41" s="252"/>
      <c r="G41" s="252"/>
      <c r="H41" s="252"/>
      <c r="I41" s="252"/>
      <c r="J41" s="252"/>
      <c r="K41" s="252"/>
    </row>
    <row r="42" spans="1:11" ht="14.4" x14ac:dyDescent="0.3">
      <c r="A42" s="3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ht="14.4" x14ac:dyDescent="0.3">
      <c r="A43" s="3"/>
      <c r="B43" s="253" t="s">
        <v>253</v>
      </c>
      <c r="C43" s="253"/>
      <c r="D43" s="253"/>
      <c r="E43" s="253"/>
      <c r="F43" s="6"/>
      <c r="G43" s="6"/>
      <c r="H43" s="254" t="str">
        <f>'PLANILHA ORÇAMENTÁRIA'!B83</f>
        <v>DATA:</v>
      </c>
      <c r="I43" s="254"/>
      <c r="J43" s="254"/>
      <c r="K43" s="254"/>
    </row>
    <row r="44" spans="1:11" ht="14.4" x14ac:dyDescent="0.3">
      <c r="A44" s="3"/>
      <c r="B44" s="255" t="s">
        <v>19</v>
      </c>
      <c r="C44" s="255"/>
      <c r="D44" s="255"/>
      <c r="E44" s="255"/>
      <c r="F44" s="6"/>
      <c r="G44" s="8"/>
      <c r="H44" s="32" t="s">
        <v>20</v>
      </c>
      <c r="I44" s="9"/>
      <c r="J44" s="9"/>
      <c r="K44" s="9"/>
    </row>
    <row r="45" spans="1:11" ht="14.4" x14ac:dyDescent="0.3">
      <c r="A45" s="3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 ht="14.4" x14ac:dyDescent="0.3">
      <c r="A46" s="3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 ht="14.4" x14ac:dyDescent="0.3">
      <c r="A47" s="3"/>
      <c r="B47" s="246"/>
      <c r="C47" s="246"/>
      <c r="D47" s="246"/>
      <c r="E47" s="246"/>
      <c r="F47" s="33"/>
      <c r="G47" s="6"/>
      <c r="H47" s="6"/>
      <c r="I47" s="6"/>
      <c r="J47" s="6"/>
      <c r="K47" s="6"/>
    </row>
    <row r="48" spans="1:11" ht="14.4" x14ac:dyDescent="0.3">
      <c r="A48" s="3"/>
      <c r="B48" s="247" t="s">
        <v>334</v>
      </c>
      <c r="C48" s="247"/>
      <c r="D48" s="247"/>
      <c r="E48" s="247"/>
      <c r="F48" s="10"/>
      <c r="G48" s="6"/>
      <c r="H48" s="6"/>
      <c r="I48" s="6"/>
      <c r="J48" s="6"/>
      <c r="K48" s="6"/>
    </row>
    <row r="49" spans="1:11" ht="14.4" x14ac:dyDescent="0.3">
      <c r="B49" s="34" t="s">
        <v>21</v>
      </c>
      <c r="C49" s="11" t="str">
        <f>'PLANILHA ORÇAMENTÁRIA'!B87</f>
        <v>XXXXXXXXXXXXXXXXX</v>
      </c>
      <c r="D49" s="12"/>
      <c r="E49" s="12"/>
      <c r="F49" s="35"/>
      <c r="G49" s="6"/>
      <c r="H49" s="6"/>
      <c r="I49" s="6"/>
      <c r="J49" s="6"/>
      <c r="K49" s="6"/>
    </row>
    <row r="50" spans="1:11" ht="14.4" x14ac:dyDescent="0.3">
      <c r="B50" s="34"/>
      <c r="C50" s="11" t="str">
        <f>'PLANILHA ORÇAMENTÁRIA'!B89</f>
        <v>NOME DA EMPRESA LICITANTE</v>
      </c>
      <c r="D50" s="12"/>
      <c r="E50" s="12"/>
      <c r="F50" s="35"/>
      <c r="G50" s="6"/>
      <c r="H50" s="6"/>
      <c r="I50" s="6"/>
      <c r="J50" s="6"/>
      <c r="K50" s="6"/>
    </row>
    <row r="51" spans="1:11" ht="14.4" hidden="1" x14ac:dyDescent="0.3">
      <c r="B51" s="34" t="s">
        <v>22</v>
      </c>
      <c r="C51" s="11">
        <v>0</v>
      </c>
      <c r="D51" s="12"/>
      <c r="E51" s="12"/>
      <c r="F51" s="35"/>
      <c r="G51" s="6"/>
      <c r="H51" s="6"/>
      <c r="I51" s="6"/>
      <c r="J51" s="6"/>
      <c r="K51" s="6"/>
    </row>
    <row r="52" spans="1:11" ht="14.4" x14ac:dyDescent="0.3">
      <c r="B52" s="34"/>
      <c r="C52" s="13"/>
      <c r="D52" s="12"/>
      <c r="E52" s="12"/>
      <c r="F52" s="35"/>
      <c r="G52" s="6"/>
      <c r="H52" s="6"/>
      <c r="I52" s="6"/>
      <c r="J52" s="6"/>
      <c r="K52" s="6"/>
    </row>
    <row r="56" spans="1:11" x14ac:dyDescent="0.25">
      <c r="A56" s="3"/>
      <c r="C56" s="4"/>
      <c r="H56" s="4"/>
    </row>
    <row r="57" spans="1:11" x14ac:dyDescent="0.25">
      <c r="A57" s="3"/>
      <c r="H57" s="5"/>
    </row>
    <row r="58" spans="1:11" x14ac:dyDescent="0.25">
      <c r="A58" s="3"/>
      <c r="H58" s="2"/>
    </row>
    <row r="59" spans="1:11" x14ac:dyDescent="0.25">
      <c r="A59" s="3"/>
    </row>
    <row r="60" spans="1:11" x14ac:dyDescent="0.25">
      <c r="A60" s="3"/>
    </row>
    <row r="61" spans="1:11" x14ac:dyDescent="0.25">
      <c r="A61" s="3"/>
    </row>
    <row r="62" spans="1:11" x14ac:dyDescent="0.25">
      <c r="A62" s="3"/>
    </row>
  </sheetData>
  <mergeCells count="31">
    <mergeCell ref="B4:K4"/>
    <mergeCell ref="B23:I24"/>
    <mergeCell ref="J23:J24"/>
    <mergeCell ref="K23:K24"/>
    <mergeCell ref="B25:I25"/>
    <mergeCell ref="B15:I15"/>
    <mergeCell ref="J15:K15"/>
    <mergeCell ref="B16:I16"/>
    <mergeCell ref="J16:K16"/>
    <mergeCell ref="B20:K20"/>
    <mergeCell ref="B29:I29"/>
    <mergeCell ref="B30:I30"/>
    <mergeCell ref="B31:I31"/>
    <mergeCell ref="B32:I32"/>
    <mergeCell ref="B26:I26"/>
    <mergeCell ref="B47:E47"/>
    <mergeCell ref="B48:E48"/>
    <mergeCell ref="B8:K8"/>
    <mergeCell ref="B19:K19"/>
    <mergeCell ref="B41:K41"/>
    <mergeCell ref="B43:E43"/>
    <mergeCell ref="H43:K43"/>
    <mergeCell ref="B44:E44"/>
    <mergeCell ref="B33:I33"/>
    <mergeCell ref="B36:K36"/>
    <mergeCell ref="E37:E38"/>
    <mergeCell ref="F37:H37"/>
    <mergeCell ref="I37:I38"/>
    <mergeCell ref="F38:H38"/>
    <mergeCell ref="B27:I27"/>
    <mergeCell ref="B28:I28"/>
  </mergeCells>
  <conditionalFormatting sqref="B33:K33">
    <cfRule type="expression" dxfId="0" priority="1" stopIfTrue="1">
      <formula>DESONERACAO="não"</formula>
    </cfRule>
  </conditionalFormatting>
  <dataValidations count="6">
    <dataValidation type="decimal" allowBlank="1" showErrorMessage="1" errorTitle="Erro de valores" error="Digite um valor entre 0% e 100%" sqref="K25:K30" xr:uid="{3F4D8B05-79BF-4F96-A581-F5D883C1A357}">
      <formula1>0</formula1>
      <formula2>1</formula2>
    </dataValidation>
    <dataValidation type="decimal" allowBlank="1" showErrorMessage="1" errorTitle="Erro de valores" error="Digite um valor maior do que 0." sqref="K31" xr:uid="{95784F10-DFC4-4864-ACEF-D815508018F2}">
      <formula1>0</formula1>
      <formula2>1</formula2>
    </dataValidation>
    <dataValidation operator="greaterThanOrEqual" allowBlank="1" showErrorMessage="1" errorTitle="Erro de valores" error="Digite um valor igual a 0% ou 2%." sqref="K32" xr:uid="{F4364839-C85D-4D83-A9D1-2BAFF59C23F6}">
      <formula1>0</formula1>
      <formula2>0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J16:K16" xr:uid="{07C2F3E9-01CE-412E-8384-522F8D804DCF}">
      <formula1>0</formula1>
      <formula2>0</formula2>
    </dataValidation>
    <dataValidation type="decimal" allowBlank="1" showInputMessage="1" showErrorMessage="1" errorTitle="Valor não permitido" error="Digite um percentual entre 0% e 100%." promptTitle="Valores admissíveis:" prompt="Insira valores entre 0 e 100%." sqref="J15:K15" xr:uid="{D575E564-1BB4-475E-8513-4337164726F9}">
      <formula1>0</formula1>
      <formula2>1</formula2>
    </dataValidation>
    <dataValidation type="list" allowBlank="1" showErrorMessage="1" sqref="B20:K21" xr:uid="{9E1ED444-6176-4247-9AA3-7DBECD75FC65}">
      <formula1>BDI.TipoObra</formula1>
      <formula2>0</formula2>
    </dataValidation>
  </dataValidations>
  <pageMargins left="0.51181102362204722" right="0.51181102362204722" top="0.78740157480314965" bottom="0.78740157480314965" header="0.31496062992125984" footer="0.31496062992125984"/>
  <pageSetup paperSize="9" scale="65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3A3C7-7283-4FBE-8A92-C5C011073FD1}">
  <dimension ref="A4:IP56"/>
  <sheetViews>
    <sheetView topLeftCell="A40" zoomScaleNormal="100" workbookViewId="0">
      <selection activeCell="B51" sqref="B51"/>
    </sheetView>
  </sheetViews>
  <sheetFormatPr defaultRowHeight="14.4" x14ac:dyDescent="0.3"/>
  <cols>
    <col min="2" max="2" width="20.44140625" customWidth="1"/>
    <col min="3" max="3" width="7" bestFit="1" customWidth="1"/>
    <col min="4" max="4" width="76.77734375" style="14" customWidth="1"/>
    <col min="5" max="5" width="8.88671875" style="15"/>
    <col min="6" max="6" width="9.77734375" style="15" bestFit="1" customWidth="1"/>
    <col min="7" max="8" width="8.88671875" style="15"/>
  </cols>
  <sheetData>
    <row r="4" spans="2:8" ht="33.6" x14ac:dyDescent="0.3">
      <c r="B4" s="314" t="str">
        <f>'PLANILHA ORÇAMENTÁRIA'!B3</f>
        <v>TIMBRADO LICITANTE</v>
      </c>
      <c r="C4" s="314"/>
      <c r="D4" s="314"/>
      <c r="E4" s="314"/>
      <c r="F4" s="314"/>
      <c r="G4" s="314"/>
      <c r="H4" s="314"/>
    </row>
    <row r="8" spans="2:8" ht="23.4" x14ac:dyDescent="0.45">
      <c r="B8" s="271" t="s">
        <v>74</v>
      </c>
      <c r="C8" s="271"/>
      <c r="D8" s="271"/>
      <c r="E8" s="271"/>
      <c r="F8" s="271"/>
      <c r="G8" s="271"/>
      <c r="H8" s="271"/>
    </row>
    <row r="10" spans="2:8" x14ac:dyDescent="0.3">
      <c r="B10" t="str">
        <f>'COMPOSIÇÃO BDI'!B11</f>
        <v>OBJETO: EXECUÇÃO DE OBRAS DE INFRAESTRUTURA EM VIA URBANA</v>
      </c>
    </row>
    <row r="11" spans="2:8" x14ac:dyDescent="0.3">
      <c r="B11" t="str">
        <f>'COMPOSIÇÃO BDI'!B12</f>
        <v>LOCAL: AV. BIAS FORTES, CENTRO, IBERTIOGA-MG</v>
      </c>
    </row>
    <row r="14" spans="2:8" x14ac:dyDescent="0.3">
      <c r="B14" s="175" t="s">
        <v>23</v>
      </c>
      <c r="C14" s="175">
        <v>1</v>
      </c>
      <c r="D14" s="176" t="s">
        <v>28</v>
      </c>
      <c r="E14" s="175" t="s">
        <v>29</v>
      </c>
      <c r="F14" s="175"/>
      <c r="G14" s="175"/>
      <c r="H14" s="177">
        <f>SUM(H15:H21)</f>
        <v>592.53999999999985</v>
      </c>
    </row>
    <row r="15" spans="2:8" ht="28.8" x14ac:dyDescent="0.3">
      <c r="B15" s="19" t="s">
        <v>25</v>
      </c>
      <c r="C15" s="19" t="s">
        <v>30</v>
      </c>
      <c r="D15" s="23" t="s">
        <v>47</v>
      </c>
      <c r="E15" s="19" t="s">
        <v>43</v>
      </c>
      <c r="F15" s="115">
        <v>1</v>
      </c>
      <c r="G15" s="20">
        <v>11.37</v>
      </c>
      <c r="H15" s="20">
        <f>ROUND(F15*G15,2)</f>
        <v>11.37</v>
      </c>
    </row>
    <row r="16" spans="2:8" x14ac:dyDescent="0.3">
      <c r="B16" s="19" t="s">
        <v>25</v>
      </c>
      <c r="C16" s="19" t="s">
        <v>31</v>
      </c>
      <c r="D16" s="23" t="s">
        <v>48</v>
      </c>
      <c r="E16" s="19" t="s">
        <v>43</v>
      </c>
      <c r="F16" s="115">
        <v>4</v>
      </c>
      <c r="G16" s="20">
        <v>8.39</v>
      </c>
      <c r="H16" s="20">
        <f t="shared" ref="H16:H21" si="0">ROUND(F16*G16,2)</f>
        <v>33.56</v>
      </c>
    </row>
    <row r="17" spans="1:8" ht="28.8" x14ac:dyDescent="0.3">
      <c r="B17" s="19" t="s">
        <v>25</v>
      </c>
      <c r="C17" s="19" t="s">
        <v>32</v>
      </c>
      <c r="D17" s="23" t="s">
        <v>49</v>
      </c>
      <c r="E17" s="19" t="s">
        <v>42</v>
      </c>
      <c r="F17" s="115">
        <v>1</v>
      </c>
      <c r="G17" s="20">
        <v>480</v>
      </c>
      <c r="H17" s="20">
        <f t="shared" si="0"/>
        <v>480</v>
      </c>
    </row>
    <row r="18" spans="1:8" x14ac:dyDescent="0.3">
      <c r="B18" s="19" t="s">
        <v>25</v>
      </c>
      <c r="C18" s="19" t="s">
        <v>33</v>
      </c>
      <c r="D18" s="23" t="s">
        <v>50</v>
      </c>
      <c r="E18" s="19" t="s">
        <v>46</v>
      </c>
      <c r="F18" s="115">
        <v>0.11</v>
      </c>
      <c r="G18" s="20">
        <v>25.43</v>
      </c>
      <c r="H18" s="20">
        <f t="shared" si="0"/>
        <v>2.8</v>
      </c>
    </row>
    <row r="19" spans="1:8" x14ac:dyDescent="0.3">
      <c r="B19" s="19" t="s">
        <v>24</v>
      </c>
      <c r="C19" s="19" t="s">
        <v>34</v>
      </c>
      <c r="D19" s="23" t="s">
        <v>51</v>
      </c>
      <c r="E19" s="19" t="s">
        <v>44</v>
      </c>
      <c r="F19" s="115">
        <v>1</v>
      </c>
      <c r="G19" s="20">
        <v>24.86</v>
      </c>
      <c r="H19" s="20">
        <f t="shared" si="0"/>
        <v>24.86</v>
      </c>
    </row>
    <row r="20" spans="1:8" x14ac:dyDescent="0.3">
      <c r="B20" s="19" t="s">
        <v>24</v>
      </c>
      <c r="C20" s="19" t="s">
        <v>26</v>
      </c>
      <c r="D20" s="23" t="s">
        <v>45</v>
      </c>
      <c r="E20" s="19" t="s">
        <v>44</v>
      </c>
      <c r="F20" s="115">
        <v>2</v>
      </c>
      <c r="G20" s="20">
        <v>18.02</v>
      </c>
      <c r="H20" s="20">
        <f t="shared" si="0"/>
        <v>36.04</v>
      </c>
    </row>
    <row r="21" spans="1:8" ht="28.8" x14ac:dyDescent="0.3">
      <c r="B21" s="19" t="s">
        <v>24</v>
      </c>
      <c r="C21" s="19" t="s">
        <v>35</v>
      </c>
      <c r="D21" s="23" t="s">
        <v>52</v>
      </c>
      <c r="E21" s="19" t="s">
        <v>41</v>
      </c>
      <c r="F21" s="115">
        <v>0.01</v>
      </c>
      <c r="G21" s="20">
        <v>390.97</v>
      </c>
      <c r="H21" s="20">
        <f t="shared" si="0"/>
        <v>3.91</v>
      </c>
    </row>
    <row r="22" spans="1:8" x14ac:dyDescent="0.3">
      <c r="B22" s="19"/>
      <c r="C22" s="19"/>
      <c r="D22" s="23"/>
      <c r="E22" s="19"/>
      <c r="F22" s="19"/>
      <c r="G22" s="19"/>
      <c r="H22" s="19"/>
    </row>
    <row r="25" spans="1:8" s="162" customFormat="1" ht="57.6" x14ac:dyDescent="0.3">
      <c r="A25" s="44"/>
      <c r="B25" s="173" t="s">
        <v>23</v>
      </c>
      <c r="C25" s="173" t="s">
        <v>293</v>
      </c>
      <c r="D25" s="174" t="s">
        <v>177</v>
      </c>
      <c r="E25" s="173" t="s">
        <v>230</v>
      </c>
      <c r="F25" s="178"/>
      <c r="G25" s="179"/>
      <c r="H25" s="179">
        <f>SUM(H26:H37)</f>
        <v>496.77437325999995</v>
      </c>
    </row>
    <row r="26" spans="1:8" s="162" customFormat="1" x14ac:dyDescent="0.3">
      <c r="A26" s="44"/>
      <c r="B26" s="180" t="s">
        <v>24</v>
      </c>
      <c r="C26" s="180" t="s">
        <v>224</v>
      </c>
      <c r="D26" s="164" t="s">
        <v>238</v>
      </c>
      <c r="E26" s="183" t="s">
        <v>41</v>
      </c>
      <c r="F26" s="181">
        <f>1.2*0.4*0.05</f>
        <v>2.4E-2</v>
      </c>
      <c r="G26" s="182">
        <v>234.96</v>
      </c>
      <c r="H26" s="182">
        <f>F26*G26</f>
        <v>5.6390400000000005</v>
      </c>
    </row>
    <row r="27" spans="1:8" s="162" customFormat="1" ht="28.8" x14ac:dyDescent="0.3">
      <c r="A27" s="44"/>
      <c r="B27" s="180" t="s">
        <v>24</v>
      </c>
      <c r="C27" s="180" t="s">
        <v>231</v>
      </c>
      <c r="D27" s="164" t="s">
        <v>246</v>
      </c>
      <c r="E27" s="183" t="s">
        <v>41</v>
      </c>
      <c r="F27" s="181">
        <f>1.2*0.4*0.05</f>
        <v>2.4E-2</v>
      </c>
      <c r="G27" s="182">
        <v>779.7</v>
      </c>
      <c r="H27" s="182">
        <f t="shared" ref="H27:H36" si="1">F27*G27</f>
        <v>18.712800000000001</v>
      </c>
    </row>
    <row r="28" spans="1:8" s="162" customFormat="1" x14ac:dyDescent="0.3">
      <c r="A28" s="44"/>
      <c r="B28" s="180" t="s">
        <v>25</v>
      </c>
      <c r="C28" s="180" t="s">
        <v>232</v>
      </c>
      <c r="D28" s="164" t="s">
        <v>247</v>
      </c>
      <c r="E28" s="183" t="s">
        <v>244</v>
      </c>
      <c r="F28" s="181">
        <v>1</v>
      </c>
      <c r="G28" s="182">
        <v>59.13</v>
      </c>
      <c r="H28" s="182">
        <f t="shared" si="1"/>
        <v>59.13</v>
      </c>
    </row>
    <row r="29" spans="1:8" s="162" customFormat="1" ht="28.8" x14ac:dyDescent="0.3">
      <c r="B29" s="180" t="s">
        <v>25</v>
      </c>
      <c r="C29" s="180" t="s">
        <v>233</v>
      </c>
      <c r="D29" s="164" t="s">
        <v>248</v>
      </c>
      <c r="E29" s="183" t="s">
        <v>244</v>
      </c>
      <c r="F29" s="181">
        <v>0.188</v>
      </c>
      <c r="G29" s="182">
        <v>22.86</v>
      </c>
      <c r="H29" s="182">
        <f t="shared" si="1"/>
        <v>4.2976799999999997</v>
      </c>
    </row>
    <row r="30" spans="1:8" s="162" customFormat="1" x14ac:dyDescent="0.3">
      <c r="B30" s="180" t="s">
        <v>25</v>
      </c>
      <c r="C30" s="180" t="s">
        <v>234</v>
      </c>
      <c r="D30" s="164" t="s">
        <v>249</v>
      </c>
      <c r="E30" s="183" t="s">
        <v>43</v>
      </c>
      <c r="F30" s="181">
        <v>6</v>
      </c>
      <c r="G30" s="182">
        <v>42.21</v>
      </c>
      <c r="H30" s="182">
        <f t="shared" si="1"/>
        <v>253.26</v>
      </c>
    </row>
    <row r="31" spans="1:8" s="162" customFormat="1" ht="28.8" x14ac:dyDescent="0.3">
      <c r="B31" s="180" t="s">
        <v>25</v>
      </c>
      <c r="C31" s="180" t="s">
        <v>235</v>
      </c>
      <c r="D31" s="164" t="s">
        <v>250</v>
      </c>
      <c r="E31" s="183" t="s">
        <v>244</v>
      </c>
      <c r="F31" s="181">
        <v>1</v>
      </c>
      <c r="G31" s="182">
        <v>10.9</v>
      </c>
      <c r="H31" s="182">
        <f t="shared" si="1"/>
        <v>10.9</v>
      </c>
    </row>
    <row r="32" spans="1:8" s="162" customFormat="1" ht="57.6" x14ac:dyDescent="0.3">
      <c r="B32" s="180" t="s">
        <v>24</v>
      </c>
      <c r="C32" s="180" t="s">
        <v>40</v>
      </c>
      <c r="D32" s="164" t="s">
        <v>55</v>
      </c>
      <c r="E32" s="183" t="s">
        <v>41</v>
      </c>
      <c r="F32" s="181">
        <f>0.4*((0.9+0.6/2))*6</f>
        <v>2.88</v>
      </c>
      <c r="G32" s="182">
        <v>8.81</v>
      </c>
      <c r="H32" s="182">
        <f t="shared" si="1"/>
        <v>25.372800000000002</v>
      </c>
    </row>
    <row r="33" spans="1:250" s="162" customFormat="1" ht="46.8" customHeight="1" x14ac:dyDescent="0.3">
      <c r="B33" s="180" t="s">
        <v>24</v>
      </c>
      <c r="C33" s="180" t="s">
        <v>236</v>
      </c>
      <c r="D33" s="164" t="s">
        <v>251</v>
      </c>
      <c r="E33" s="183" t="s">
        <v>41</v>
      </c>
      <c r="F33" s="181">
        <f>F32-(6*3.14*0.005^2)</f>
        <v>2.8795289999999998</v>
      </c>
      <c r="G33" s="182">
        <v>24.94</v>
      </c>
      <c r="H33" s="182">
        <f t="shared" si="1"/>
        <v>71.815453259999998</v>
      </c>
    </row>
    <row r="34" spans="1:250" s="162" customFormat="1" ht="28.8" x14ac:dyDescent="0.3">
      <c r="B34" s="180" t="s">
        <v>24</v>
      </c>
      <c r="C34" s="180" t="s">
        <v>38</v>
      </c>
      <c r="D34" s="164" t="s">
        <v>53</v>
      </c>
      <c r="E34" s="183" t="s">
        <v>41</v>
      </c>
      <c r="F34" s="181">
        <f>0.4*6</f>
        <v>2.4000000000000004</v>
      </c>
      <c r="G34" s="182">
        <v>5.53</v>
      </c>
      <c r="H34" s="182">
        <f t="shared" si="1"/>
        <v>13.272000000000002</v>
      </c>
    </row>
    <row r="35" spans="1:250" s="162" customFormat="1" x14ac:dyDescent="0.3">
      <c r="B35" s="180" t="s">
        <v>24</v>
      </c>
      <c r="C35" s="180" t="s">
        <v>26</v>
      </c>
      <c r="D35" s="164" t="s">
        <v>45</v>
      </c>
      <c r="E35" s="183" t="s">
        <v>44</v>
      </c>
      <c r="F35" s="181">
        <v>0.78</v>
      </c>
      <c r="G35" s="182">
        <v>18.02</v>
      </c>
      <c r="H35" s="182">
        <f t="shared" si="1"/>
        <v>14.0556</v>
      </c>
    </row>
    <row r="36" spans="1:250" s="162" customFormat="1" x14ac:dyDescent="0.3">
      <c r="B36" s="180" t="s">
        <v>24</v>
      </c>
      <c r="C36" s="180" t="s">
        <v>237</v>
      </c>
      <c r="D36" s="164" t="s">
        <v>252</v>
      </c>
      <c r="E36" s="183" t="s">
        <v>44</v>
      </c>
      <c r="F36" s="181">
        <v>0.78</v>
      </c>
      <c r="G36" s="182">
        <v>26.05</v>
      </c>
      <c r="H36" s="182">
        <f t="shared" si="1"/>
        <v>20.319000000000003</v>
      </c>
    </row>
    <row r="37" spans="1:250" s="162" customFormat="1" x14ac:dyDescent="0.3">
      <c r="B37" s="163"/>
      <c r="C37" s="163"/>
      <c r="D37" s="164"/>
      <c r="E37" s="165"/>
      <c r="F37" s="166"/>
      <c r="G37" s="167"/>
      <c r="H37" s="167"/>
    </row>
    <row r="38" spans="1:250" s="162" customFormat="1" x14ac:dyDescent="0.3">
      <c r="B38" s="168"/>
      <c r="C38" s="168"/>
      <c r="D38" s="169"/>
      <c r="E38" s="170"/>
      <c r="F38" s="171"/>
      <c r="G38" s="172"/>
      <c r="H38" s="172"/>
    </row>
    <row r="39" spans="1:250" s="44" customFormat="1" x14ac:dyDescent="0.3">
      <c r="A39" s="162"/>
      <c r="D39" s="46"/>
      <c r="E39" s="43"/>
      <c r="F39" s="43"/>
      <c r="G39" s="43"/>
      <c r="H39" s="43"/>
    </row>
    <row r="40" spans="1:250" s="44" customFormat="1" ht="28.8" x14ac:dyDescent="0.3">
      <c r="A40" s="162"/>
      <c r="B40" s="173" t="s">
        <v>23</v>
      </c>
      <c r="C40" s="173" t="s">
        <v>297</v>
      </c>
      <c r="D40" s="174" t="s">
        <v>304</v>
      </c>
      <c r="E40" s="173" t="s">
        <v>27</v>
      </c>
      <c r="F40" s="178"/>
      <c r="G40" s="179"/>
      <c r="H40" s="179">
        <v>44.56</v>
      </c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  <c r="BI40" s="162"/>
      <c r="BJ40" s="162"/>
      <c r="BK40" s="162"/>
      <c r="BL40" s="162"/>
      <c r="BM40" s="162"/>
      <c r="BN40" s="162"/>
      <c r="BO40" s="162"/>
      <c r="BP40" s="162"/>
      <c r="BQ40" s="162"/>
      <c r="BR40" s="162"/>
      <c r="BS40" s="162"/>
      <c r="BT40" s="162"/>
      <c r="BU40" s="162"/>
      <c r="BV40" s="162"/>
      <c r="BW40" s="162"/>
      <c r="BX40" s="162"/>
      <c r="BY40" s="162"/>
      <c r="BZ40" s="162"/>
      <c r="CA40" s="162"/>
      <c r="CB40" s="162"/>
      <c r="CC40" s="162"/>
      <c r="CD40" s="162"/>
      <c r="CE40" s="162"/>
      <c r="CF40" s="162"/>
      <c r="CG40" s="162"/>
      <c r="CH40" s="162"/>
      <c r="CI40" s="162"/>
      <c r="CJ40" s="162"/>
      <c r="CK40" s="162"/>
      <c r="CL40" s="162"/>
      <c r="CM40" s="162"/>
      <c r="CN40" s="162"/>
      <c r="CO40" s="162"/>
      <c r="CP40" s="162"/>
      <c r="CQ40" s="162"/>
      <c r="CR40" s="162"/>
      <c r="CS40" s="162"/>
      <c r="CT40" s="162"/>
      <c r="CU40" s="162"/>
      <c r="CV40" s="162"/>
      <c r="CW40" s="162"/>
      <c r="CX40" s="162"/>
      <c r="CY40" s="162"/>
      <c r="CZ40" s="162"/>
      <c r="DA40" s="162"/>
      <c r="DB40" s="162"/>
      <c r="DC40" s="162"/>
      <c r="DD40" s="162"/>
      <c r="DE40" s="162"/>
      <c r="DF40" s="162"/>
      <c r="DG40" s="162"/>
      <c r="DH40" s="162"/>
      <c r="DI40" s="162"/>
      <c r="DJ40" s="162"/>
      <c r="DK40" s="162"/>
      <c r="DL40" s="162"/>
      <c r="DM40" s="162"/>
      <c r="DN40" s="162"/>
      <c r="DO40" s="162"/>
      <c r="DP40" s="162"/>
      <c r="DQ40" s="162"/>
      <c r="DR40" s="162"/>
      <c r="DS40" s="162"/>
      <c r="DT40" s="162"/>
      <c r="DU40" s="162"/>
      <c r="DV40" s="162"/>
      <c r="DW40" s="162"/>
      <c r="DX40" s="162"/>
      <c r="DY40" s="162"/>
      <c r="DZ40" s="162"/>
      <c r="EA40" s="162"/>
      <c r="EB40" s="162"/>
      <c r="EC40" s="162"/>
      <c r="ED40" s="162"/>
      <c r="EE40" s="162"/>
      <c r="EF40" s="162"/>
      <c r="EG40" s="162"/>
      <c r="EH40" s="162"/>
      <c r="EI40" s="162"/>
      <c r="EJ40" s="162"/>
      <c r="EK40" s="162"/>
      <c r="EL40" s="162"/>
      <c r="EM40" s="162"/>
      <c r="EN40" s="162"/>
      <c r="EO40" s="162"/>
      <c r="EP40" s="162"/>
      <c r="EQ40" s="162"/>
      <c r="ER40" s="162"/>
      <c r="ES40" s="162"/>
      <c r="ET40" s="162"/>
      <c r="EU40" s="162"/>
      <c r="EV40" s="162"/>
      <c r="EW40" s="162"/>
      <c r="EX40" s="162"/>
      <c r="EY40" s="162"/>
      <c r="EZ40" s="162"/>
      <c r="FA40" s="162"/>
      <c r="FB40" s="162"/>
      <c r="FC40" s="162"/>
      <c r="FD40" s="162"/>
      <c r="FE40" s="162"/>
      <c r="FF40" s="162"/>
      <c r="FG40" s="162"/>
      <c r="FH40" s="162"/>
      <c r="FI40" s="162"/>
      <c r="FJ40" s="162"/>
      <c r="FK40" s="162"/>
      <c r="FL40" s="162"/>
      <c r="FM40" s="162"/>
      <c r="FN40" s="162"/>
      <c r="FO40" s="162"/>
      <c r="FP40" s="162"/>
      <c r="FQ40" s="162"/>
      <c r="FR40" s="162"/>
      <c r="FS40" s="162"/>
      <c r="FT40" s="162"/>
      <c r="FU40" s="162"/>
      <c r="FV40" s="162"/>
      <c r="FW40" s="162"/>
      <c r="FX40" s="162"/>
      <c r="FY40" s="162"/>
      <c r="FZ40" s="162"/>
      <c r="GA40" s="162"/>
      <c r="GB40" s="162"/>
      <c r="GC40" s="162"/>
      <c r="GD40" s="162"/>
      <c r="GE40" s="162"/>
      <c r="GF40" s="162"/>
      <c r="GG40" s="162"/>
      <c r="GH40" s="162"/>
      <c r="GI40" s="162"/>
      <c r="GJ40" s="162"/>
      <c r="GK40" s="162"/>
      <c r="GL40" s="162"/>
      <c r="GM40" s="162"/>
      <c r="GN40" s="162"/>
      <c r="GO40" s="162"/>
      <c r="GP40" s="162"/>
      <c r="GQ40" s="162"/>
      <c r="GR40" s="162"/>
      <c r="GS40" s="162"/>
      <c r="GT40" s="162"/>
      <c r="GU40" s="162"/>
      <c r="GV40" s="162"/>
      <c r="GW40" s="162"/>
      <c r="GX40" s="162"/>
      <c r="GY40" s="162"/>
      <c r="GZ40" s="162"/>
      <c r="HA40" s="162"/>
      <c r="HB40" s="162"/>
      <c r="HC40" s="162"/>
      <c r="HD40" s="162"/>
      <c r="HE40" s="162"/>
      <c r="HF40" s="162"/>
      <c r="HG40" s="162"/>
      <c r="HH40" s="162"/>
      <c r="HI40" s="162"/>
      <c r="HJ40" s="162"/>
      <c r="HK40" s="162"/>
      <c r="HL40" s="162"/>
      <c r="HM40" s="162"/>
      <c r="HN40" s="162"/>
      <c r="HO40" s="162"/>
      <c r="HP40" s="162"/>
      <c r="HQ40" s="162"/>
      <c r="HR40" s="162"/>
      <c r="HS40" s="162"/>
      <c r="HT40" s="162"/>
      <c r="HU40" s="162"/>
      <c r="HV40" s="162"/>
      <c r="HW40" s="162"/>
      <c r="HX40" s="162"/>
      <c r="HY40" s="162"/>
      <c r="HZ40" s="162"/>
      <c r="IA40" s="162"/>
      <c r="IB40" s="162"/>
      <c r="IC40" s="162"/>
      <c r="ID40" s="162"/>
      <c r="IE40" s="162"/>
      <c r="IF40" s="162"/>
      <c r="IG40" s="162"/>
      <c r="IH40" s="162"/>
      <c r="II40" s="162"/>
      <c r="IJ40" s="162"/>
      <c r="IK40" s="162"/>
      <c r="IL40" s="162"/>
      <c r="IM40" s="162"/>
      <c r="IN40" s="162"/>
      <c r="IO40" s="162"/>
      <c r="IP40" s="162"/>
    </row>
    <row r="41" spans="1:250" s="44" customFormat="1" ht="28.8" x14ac:dyDescent="0.3">
      <c r="A41" s="162"/>
      <c r="B41" s="180" t="s">
        <v>24</v>
      </c>
      <c r="C41" s="180" t="s">
        <v>38</v>
      </c>
      <c r="D41" s="199" t="s">
        <v>53</v>
      </c>
      <c r="E41" s="183" t="s">
        <v>29</v>
      </c>
      <c r="F41" s="181">
        <v>0.5</v>
      </c>
      <c r="G41" s="182">
        <v>0</v>
      </c>
      <c r="H41" s="182">
        <v>5.53</v>
      </c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  <c r="BI41" s="162"/>
      <c r="BJ41" s="162"/>
      <c r="BK41" s="162"/>
      <c r="BL41" s="162"/>
      <c r="BM41" s="162"/>
      <c r="BN41" s="162"/>
      <c r="BO41" s="162"/>
      <c r="BP41" s="162"/>
      <c r="BQ41" s="162"/>
      <c r="BR41" s="162"/>
      <c r="BS41" s="162"/>
      <c r="BT41" s="162"/>
      <c r="BU41" s="162"/>
      <c r="BV41" s="162"/>
      <c r="BW41" s="162"/>
      <c r="BX41" s="162"/>
      <c r="BY41" s="162"/>
      <c r="BZ41" s="162"/>
      <c r="CA41" s="162"/>
      <c r="CB41" s="162"/>
      <c r="CC41" s="162"/>
      <c r="CD41" s="162"/>
      <c r="CE41" s="162"/>
      <c r="CF41" s="162"/>
      <c r="CG41" s="162"/>
      <c r="CH41" s="162"/>
      <c r="CI41" s="162"/>
      <c r="CJ41" s="162"/>
      <c r="CK41" s="162"/>
      <c r="CL41" s="162"/>
      <c r="CM41" s="162"/>
      <c r="CN41" s="162"/>
      <c r="CO41" s="162"/>
      <c r="CP41" s="162"/>
      <c r="CQ41" s="162"/>
      <c r="CR41" s="162"/>
      <c r="CS41" s="162"/>
      <c r="CT41" s="162"/>
      <c r="CU41" s="162"/>
      <c r="CV41" s="162"/>
      <c r="CW41" s="162"/>
      <c r="CX41" s="162"/>
      <c r="CY41" s="162"/>
      <c r="CZ41" s="162"/>
      <c r="DA41" s="162"/>
      <c r="DB41" s="162"/>
      <c r="DC41" s="162"/>
      <c r="DD41" s="162"/>
      <c r="DE41" s="162"/>
      <c r="DF41" s="162"/>
      <c r="DG41" s="162"/>
      <c r="DH41" s="162"/>
      <c r="DI41" s="162"/>
      <c r="DJ41" s="162"/>
      <c r="DK41" s="162"/>
      <c r="DL41" s="162"/>
      <c r="DM41" s="162"/>
      <c r="DN41" s="162"/>
      <c r="DO41" s="162"/>
      <c r="DP41" s="162"/>
      <c r="DQ41" s="162"/>
      <c r="DR41" s="162"/>
      <c r="DS41" s="162"/>
      <c r="DT41" s="162"/>
      <c r="DU41" s="162"/>
      <c r="DV41" s="162"/>
      <c r="DW41" s="162"/>
      <c r="DX41" s="162"/>
      <c r="DY41" s="162"/>
      <c r="DZ41" s="162"/>
      <c r="EA41" s="162"/>
      <c r="EB41" s="162"/>
      <c r="EC41" s="162"/>
      <c r="ED41" s="162"/>
      <c r="EE41" s="162"/>
      <c r="EF41" s="162"/>
      <c r="EG41" s="162"/>
      <c r="EH41" s="162"/>
      <c r="EI41" s="162"/>
      <c r="EJ41" s="162"/>
      <c r="EK41" s="162"/>
      <c r="EL41" s="162"/>
      <c r="EM41" s="162"/>
      <c r="EN41" s="162"/>
      <c r="EO41" s="162"/>
      <c r="EP41" s="162"/>
      <c r="EQ41" s="162"/>
      <c r="ER41" s="162"/>
      <c r="ES41" s="162"/>
      <c r="ET41" s="162"/>
      <c r="EU41" s="162"/>
      <c r="EV41" s="162"/>
      <c r="EW41" s="162"/>
      <c r="EX41" s="162"/>
      <c r="EY41" s="162"/>
      <c r="EZ41" s="162"/>
      <c r="FA41" s="162"/>
      <c r="FB41" s="162"/>
      <c r="FC41" s="162"/>
      <c r="FD41" s="162"/>
      <c r="FE41" s="162"/>
      <c r="FF41" s="162"/>
      <c r="FG41" s="162"/>
      <c r="FH41" s="162"/>
      <c r="FI41" s="162"/>
      <c r="FJ41" s="162"/>
      <c r="FK41" s="162"/>
      <c r="FL41" s="162"/>
      <c r="FM41" s="162"/>
      <c r="FN41" s="162"/>
      <c r="FO41" s="162"/>
      <c r="FP41" s="162"/>
      <c r="FQ41" s="162"/>
      <c r="FR41" s="162"/>
      <c r="FS41" s="162"/>
      <c r="FT41" s="162"/>
      <c r="FU41" s="162"/>
      <c r="FV41" s="162"/>
      <c r="FW41" s="162"/>
      <c r="FX41" s="162"/>
      <c r="FY41" s="162"/>
      <c r="FZ41" s="162"/>
      <c r="GA41" s="162"/>
      <c r="GB41" s="162"/>
      <c r="GC41" s="162"/>
      <c r="GD41" s="162"/>
      <c r="GE41" s="162"/>
      <c r="GF41" s="162"/>
      <c r="GG41" s="162"/>
      <c r="GH41" s="162"/>
      <c r="GI41" s="162"/>
      <c r="GJ41" s="162"/>
      <c r="GK41" s="162"/>
      <c r="GL41" s="162"/>
      <c r="GM41" s="162"/>
      <c r="GN41" s="162"/>
      <c r="GO41" s="162"/>
      <c r="GP41" s="162"/>
      <c r="GQ41" s="162"/>
      <c r="GR41" s="162"/>
      <c r="GS41" s="162"/>
      <c r="GT41" s="162"/>
      <c r="GU41" s="162"/>
      <c r="GV41" s="162"/>
      <c r="GW41" s="162"/>
      <c r="GX41" s="162"/>
      <c r="GY41" s="162"/>
      <c r="GZ41" s="162"/>
      <c r="HA41" s="162"/>
      <c r="HB41" s="162"/>
      <c r="HC41" s="162"/>
      <c r="HD41" s="162"/>
      <c r="HE41" s="162"/>
      <c r="HF41" s="162"/>
      <c r="HG41" s="162"/>
      <c r="HH41" s="162"/>
      <c r="HI41" s="162"/>
      <c r="HJ41" s="162"/>
      <c r="HK41" s="162"/>
      <c r="HL41" s="162"/>
      <c r="HM41" s="162"/>
      <c r="HN41" s="162"/>
      <c r="HO41" s="162"/>
      <c r="HP41" s="162"/>
      <c r="HQ41" s="162"/>
      <c r="HR41" s="162"/>
      <c r="HS41" s="162"/>
      <c r="HT41" s="162"/>
      <c r="HU41" s="162"/>
      <c r="HV41" s="162"/>
      <c r="HW41" s="162"/>
      <c r="HX41" s="162"/>
      <c r="HY41" s="162"/>
      <c r="HZ41" s="162"/>
      <c r="IA41" s="162"/>
      <c r="IB41" s="162"/>
      <c r="IC41" s="162"/>
      <c r="ID41" s="162"/>
      <c r="IE41" s="162"/>
      <c r="IF41" s="162"/>
      <c r="IG41" s="162"/>
      <c r="IH41" s="162"/>
      <c r="II41" s="162"/>
      <c r="IJ41" s="162"/>
      <c r="IK41" s="162"/>
      <c r="IL41" s="162"/>
      <c r="IM41" s="162"/>
      <c r="IN41" s="162"/>
      <c r="IO41" s="162"/>
      <c r="IP41" s="162"/>
    </row>
    <row r="42" spans="1:250" s="44" customFormat="1" ht="28.8" x14ac:dyDescent="0.3">
      <c r="A42" s="162"/>
      <c r="B42" s="180" t="s">
        <v>24</v>
      </c>
      <c r="C42" s="180" t="s">
        <v>225</v>
      </c>
      <c r="D42" s="199" t="s">
        <v>239</v>
      </c>
      <c r="E42" s="183" t="s">
        <v>41</v>
      </c>
      <c r="F42" s="181">
        <v>0.05</v>
      </c>
      <c r="G42" s="182">
        <v>0</v>
      </c>
      <c r="H42" s="182">
        <v>71.28</v>
      </c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  <c r="BI42" s="162"/>
      <c r="BJ42" s="162"/>
      <c r="BK42" s="162"/>
      <c r="BL42" s="162"/>
      <c r="BM42" s="162"/>
      <c r="BN42" s="162"/>
      <c r="BO42" s="162"/>
      <c r="BP42" s="162"/>
      <c r="BQ42" s="162"/>
      <c r="BR42" s="162"/>
      <c r="BS42" s="162"/>
      <c r="BT42" s="162"/>
      <c r="BU42" s="162"/>
      <c r="BV42" s="162"/>
      <c r="BW42" s="162"/>
      <c r="BX42" s="162"/>
      <c r="BY42" s="162"/>
      <c r="BZ42" s="162"/>
      <c r="CA42" s="162"/>
      <c r="CB42" s="162"/>
      <c r="CC42" s="162"/>
      <c r="CD42" s="162"/>
      <c r="CE42" s="162"/>
      <c r="CF42" s="162"/>
      <c r="CG42" s="162"/>
      <c r="CH42" s="162"/>
      <c r="CI42" s="162"/>
      <c r="CJ42" s="162"/>
      <c r="CK42" s="162"/>
      <c r="CL42" s="162"/>
      <c r="CM42" s="162"/>
      <c r="CN42" s="162"/>
      <c r="CO42" s="162"/>
      <c r="CP42" s="162"/>
      <c r="CQ42" s="162"/>
      <c r="CR42" s="162"/>
      <c r="CS42" s="162"/>
      <c r="CT42" s="162"/>
      <c r="CU42" s="162"/>
      <c r="CV42" s="162"/>
      <c r="CW42" s="162"/>
      <c r="CX42" s="162"/>
      <c r="CY42" s="162"/>
      <c r="CZ42" s="162"/>
      <c r="DA42" s="162"/>
      <c r="DB42" s="162"/>
      <c r="DC42" s="162"/>
      <c r="DD42" s="162"/>
      <c r="DE42" s="162"/>
      <c r="DF42" s="162"/>
      <c r="DG42" s="162"/>
      <c r="DH42" s="162"/>
      <c r="DI42" s="162"/>
      <c r="DJ42" s="162"/>
      <c r="DK42" s="162"/>
      <c r="DL42" s="162"/>
      <c r="DM42" s="162"/>
      <c r="DN42" s="162"/>
      <c r="DO42" s="162"/>
      <c r="DP42" s="162"/>
      <c r="DQ42" s="162"/>
      <c r="DR42" s="162"/>
      <c r="DS42" s="162"/>
      <c r="DT42" s="162"/>
      <c r="DU42" s="162"/>
      <c r="DV42" s="162"/>
      <c r="DW42" s="162"/>
      <c r="DX42" s="162"/>
      <c r="DY42" s="162"/>
      <c r="DZ42" s="162"/>
      <c r="EA42" s="162"/>
      <c r="EB42" s="162"/>
      <c r="EC42" s="162"/>
      <c r="ED42" s="162"/>
      <c r="EE42" s="162"/>
      <c r="EF42" s="162"/>
      <c r="EG42" s="162"/>
      <c r="EH42" s="162"/>
      <c r="EI42" s="162"/>
      <c r="EJ42" s="162"/>
      <c r="EK42" s="162"/>
      <c r="EL42" s="162"/>
      <c r="EM42" s="162"/>
      <c r="EN42" s="162"/>
      <c r="EO42" s="162"/>
      <c r="EP42" s="162"/>
      <c r="EQ42" s="162"/>
      <c r="ER42" s="162"/>
      <c r="ES42" s="162"/>
      <c r="ET42" s="162"/>
      <c r="EU42" s="162"/>
      <c r="EV42" s="162"/>
      <c r="EW42" s="162"/>
      <c r="EX42" s="162"/>
      <c r="EY42" s="162"/>
      <c r="EZ42" s="162"/>
      <c r="FA42" s="162"/>
      <c r="FB42" s="162"/>
      <c r="FC42" s="162"/>
      <c r="FD42" s="162"/>
      <c r="FE42" s="162"/>
      <c r="FF42" s="162"/>
      <c r="FG42" s="162"/>
      <c r="FH42" s="162"/>
      <c r="FI42" s="162"/>
      <c r="FJ42" s="162"/>
      <c r="FK42" s="162"/>
      <c r="FL42" s="162"/>
      <c r="FM42" s="162"/>
      <c r="FN42" s="162"/>
      <c r="FO42" s="162"/>
      <c r="FP42" s="162"/>
      <c r="FQ42" s="162"/>
      <c r="FR42" s="162"/>
      <c r="FS42" s="162"/>
      <c r="FT42" s="162"/>
      <c r="FU42" s="162"/>
      <c r="FV42" s="162"/>
      <c r="FW42" s="162"/>
      <c r="FX42" s="162"/>
      <c r="FY42" s="162"/>
      <c r="FZ42" s="162"/>
      <c r="GA42" s="162"/>
      <c r="GB42" s="162"/>
      <c r="GC42" s="162"/>
      <c r="GD42" s="162"/>
      <c r="GE42" s="162"/>
      <c r="GF42" s="162"/>
      <c r="GG42" s="162"/>
      <c r="GH42" s="162"/>
      <c r="GI42" s="162"/>
      <c r="GJ42" s="162"/>
      <c r="GK42" s="162"/>
      <c r="GL42" s="162"/>
      <c r="GM42" s="162"/>
      <c r="GN42" s="162"/>
      <c r="GO42" s="162"/>
      <c r="GP42" s="162"/>
      <c r="GQ42" s="162"/>
      <c r="GR42" s="162"/>
      <c r="GS42" s="162"/>
      <c r="GT42" s="162"/>
      <c r="GU42" s="162"/>
      <c r="GV42" s="162"/>
      <c r="GW42" s="162"/>
      <c r="GX42" s="162"/>
      <c r="GY42" s="162"/>
      <c r="GZ42" s="162"/>
      <c r="HA42" s="162"/>
      <c r="HB42" s="162"/>
      <c r="HC42" s="162"/>
      <c r="HD42" s="162"/>
      <c r="HE42" s="162"/>
      <c r="HF42" s="162"/>
      <c r="HG42" s="162"/>
      <c r="HH42" s="162"/>
      <c r="HI42" s="162"/>
      <c r="HJ42" s="162"/>
      <c r="HK42" s="162"/>
      <c r="HL42" s="162"/>
      <c r="HM42" s="162"/>
      <c r="HN42" s="162"/>
      <c r="HO42" s="162"/>
      <c r="HP42" s="162"/>
      <c r="HQ42" s="162"/>
      <c r="HR42" s="162"/>
      <c r="HS42" s="162"/>
      <c r="HT42" s="162"/>
      <c r="HU42" s="162"/>
      <c r="HV42" s="162"/>
      <c r="HW42" s="162"/>
      <c r="HX42" s="162"/>
      <c r="HY42" s="162"/>
      <c r="HZ42" s="162"/>
      <c r="IA42" s="162"/>
      <c r="IB42" s="162"/>
      <c r="IC42" s="162"/>
      <c r="ID42" s="162"/>
      <c r="IE42" s="162"/>
      <c r="IF42" s="162"/>
      <c r="IG42" s="162"/>
      <c r="IH42" s="162"/>
      <c r="II42" s="162"/>
      <c r="IJ42" s="162"/>
      <c r="IK42" s="162"/>
      <c r="IL42" s="162"/>
      <c r="IM42" s="162"/>
      <c r="IN42" s="162"/>
      <c r="IO42" s="162"/>
      <c r="IP42" s="162"/>
    </row>
    <row r="43" spans="1:250" s="44" customFormat="1" x14ac:dyDescent="0.3">
      <c r="A43" s="162"/>
      <c r="B43" s="180" t="s">
        <v>25</v>
      </c>
      <c r="C43" s="180" t="s">
        <v>37</v>
      </c>
      <c r="D43" s="199" t="s">
        <v>243</v>
      </c>
      <c r="E43" s="183" t="s">
        <v>43</v>
      </c>
      <c r="F43" s="181">
        <v>0.2</v>
      </c>
      <c r="G43" s="182">
        <v>0</v>
      </c>
      <c r="H43" s="182">
        <v>4.26</v>
      </c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  <c r="BI43" s="162"/>
      <c r="BJ43" s="162"/>
      <c r="BK43" s="162"/>
      <c r="BL43" s="162"/>
      <c r="BM43" s="162"/>
      <c r="BN43" s="162"/>
      <c r="BO43" s="162"/>
      <c r="BP43" s="162"/>
      <c r="BQ43" s="162"/>
      <c r="BR43" s="162"/>
      <c r="BS43" s="162"/>
      <c r="BT43" s="162"/>
      <c r="BU43" s="162"/>
      <c r="BV43" s="162"/>
      <c r="BW43" s="162"/>
      <c r="BX43" s="162"/>
      <c r="BY43" s="162"/>
      <c r="BZ43" s="162"/>
      <c r="CA43" s="162"/>
      <c r="CB43" s="162"/>
      <c r="CC43" s="162"/>
      <c r="CD43" s="162"/>
      <c r="CE43" s="162"/>
      <c r="CF43" s="162"/>
      <c r="CG43" s="162"/>
      <c r="CH43" s="162"/>
      <c r="CI43" s="162"/>
      <c r="CJ43" s="162"/>
      <c r="CK43" s="162"/>
      <c r="CL43" s="162"/>
      <c r="CM43" s="162"/>
      <c r="CN43" s="162"/>
      <c r="CO43" s="162"/>
      <c r="CP43" s="162"/>
      <c r="CQ43" s="162"/>
      <c r="CR43" s="162"/>
      <c r="CS43" s="162"/>
      <c r="CT43" s="162"/>
      <c r="CU43" s="162"/>
      <c r="CV43" s="162"/>
      <c r="CW43" s="162"/>
      <c r="CX43" s="162"/>
      <c r="CY43" s="162"/>
      <c r="CZ43" s="162"/>
      <c r="DA43" s="162"/>
      <c r="DB43" s="162"/>
      <c r="DC43" s="162"/>
      <c r="DD43" s="162"/>
      <c r="DE43" s="162"/>
      <c r="DF43" s="162"/>
      <c r="DG43" s="162"/>
      <c r="DH43" s="162"/>
      <c r="DI43" s="162"/>
      <c r="DJ43" s="162"/>
      <c r="DK43" s="162"/>
      <c r="DL43" s="162"/>
      <c r="DM43" s="162"/>
      <c r="DN43" s="162"/>
      <c r="DO43" s="162"/>
      <c r="DP43" s="162"/>
      <c r="DQ43" s="162"/>
      <c r="DR43" s="162"/>
      <c r="DS43" s="162"/>
      <c r="DT43" s="162"/>
      <c r="DU43" s="162"/>
      <c r="DV43" s="162"/>
      <c r="DW43" s="162"/>
      <c r="DX43" s="162"/>
      <c r="DY43" s="162"/>
      <c r="DZ43" s="162"/>
      <c r="EA43" s="162"/>
      <c r="EB43" s="162"/>
      <c r="EC43" s="162"/>
      <c r="ED43" s="162"/>
      <c r="EE43" s="162"/>
      <c r="EF43" s="162"/>
      <c r="EG43" s="162"/>
      <c r="EH43" s="162"/>
      <c r="EI43" s="162"/>
      <c r="EJ43" s="162"/>
      <c r="EK43" s="162"/>
      <c r="EL43" s="162"/>
      <c r="EM43" s="162"/>
      <c r="EN43" s="162"/>
      <c r="EO43" s="162"/>
      <c r="EP43" s="162"/>
      <c r="EQ43" s="162"/>
      <c r="ER43" s="162"/>
      <c r="ES43" s="162"/>
      <c r="ET43" s="162"/>
      <c r="EU43" s="162"/>
      <c r="EV43" s="162"/>
      <c r="EW43" s="162"/>
      <c r="EX43" s="162"/>
      <c r="EY43" s="162"/>
      <c r="EZ43" s="162"/>
      <c r="FA43" s="162"/>
      <c r="FB43" s="162"/>
      <c r="FC43" s="162"/>
      <c r="FD43" s="162"/>
      <c r="FE43" s="162"/>
      <c r="FF43" s="162"/>
      <c r="FG43" s="162"/>
      <c r="FH43" s="162"/>
      <c r="FI43" s="162"/>
      <c r="FJ43" s="162"/>
      <c r="FK43" s="162"/>
      <c r="FL43" s="162"/>
      <c r="FM43" s="162"/>
      <c r="FN43" s="162"/>
      <c r="FO43" s="162"/>
      <c r="FP43" s="162"/>
      <c r="FQ43" s="162"/>
      <c r="FR43" s="162"/>
      <c r="FS43" s="162"/>
      <c r="FT43" s="162"/>
      <c r="FU43" s="162"/>
      <c r="FV43" s="162"/>
      <c r="FW43" s="162"/>
      <c r="FX43" s="162"/>
      <c r="FY43" s="162"/>
      <c r="FZ43" s="162"/>
      <c r="GA43" s="162"/>
      <c r="GB43" s="162"/>
      <c r="GC43" s="162"/>
      <c r="GD43" s="162"/>
      <c r="GE43" s="162"/>
      <c r="GF43" s="162"/>
      <c r="GG43" s="162"/>
      <c r="GH43" s="162"/>
      <c r="GI43" s="162"/>
      <c r="GJ43" s="162"/>
      <c r="GK43" s="162"/>
      <c r="GL43" s="162"/>
      <c r="GM43" s="162"/>
      <c r="GN43" s="162"/>
      <c r="GO43" s="162"/>
      <c r="GP43" s="162"/>
      <c r="GQ43" s="162"/>
      <c r="GR43" s="162"/>
      <c r="GS43" s="162"/>
      <c r="GT43" s="162"/>
      <c r="GU43" s="162"/>
      <c r="GV43" s="162"/>
      <c r="GW43" s="162"/>
      <c r="GX43" s="162"/>
      <c r="GY43" s="162"/>
      <c r="GZ43" s="162"/>
      <c r="HA43" s="162"/>
      <c r="HB43" s="162"/>
      <c r="HC43" s="162"/>
      <c r="HD43" s="162"/>
      <c r="HE43" s="162"/>
      <c r="HF43" s="162"/>
      <c r="HG43" s="162"/>
      <c r="HH43" s="162"/>
      <c r="HI43" s="162"/>
      <c r="HJ43" s="162"/>
      <c r="HK43" s="162"/>
      <c r="HL43" s="162"/>
      <c r="HM43" s="162"/>
      <c r="HN43" s="162"/>
      <c r="HO43" s="162"/>
      <c r="HP43" s="162"/>
      <c r="HQ43" s="162"/>
      <c r="HR43" s="162"/>
      <c r="HS43" s="162"/>
      <c r="HT43" s="162"/>
      <c r="HU43" s="162"/>
      <c r="HV43" s="162"/>
      <c r="HW43" s="162"/>
      <c r="HX43" s="162"/>
      <c r="HY43" s="162"/>
      <c r="HZ43" s="162"/>
      <c r="IA43" s="162"/>
      <c r="IB43" s="162"/>
      <c r="IC43" s="162"/>
      <c r="ID43" s="162"/>
      <c r="IE43" s="162"/>
      <c r="IF43" s="162"/>
      <c r="IG43" s="162"/>
      <c r="IH43" s="162"/>
      <c r="II43" s="162"/>
      <c r="IJ43" s="162"/>
      <c r="IK43" s="162"/>
      <c r="IL43" s="162"/>
      <c r="IM43" s="162"/>
      <c r="IN43" s="162"/>
      <c r="IO43" s="162"/>
      <c r="IP43" s="162"/>
    </row>
    <row r="44" spans="1:250" s="44" customFormat="1" ht="28.8" x14ac:dyDescent="0.3">
      <c r="A44" s="162"/>
      <c r="B44" s="180" t="s">
        <v>25</v>
      </c>
      <c r="C44" s="180" t="s">
        <v>229</v>
      </c>
      <c r="D44" s="199" t="s">
        <v>245</v>
      </c>
      <c r="E44" s="183" t="s">
        <v>242</v>
      </c>
      <c r="F44" s="181">
        <v>5.2500000000000005E-2</v>
      </c>
      <c r="G44" s="182">
        <v>0</v>
      </c>
      <c r="H44" s="182">
        <v>548</v>
      </c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  <c r="BI44" s="162"/>
      <c r="BJ44" s="162"/>
      <c r="BK44" s="162"/>
      <c r="BL44" s="162"/>
      <c r="BM44" s="162"/>
      <c r="BN44" s="162"/>
      <c r="BO44" s="162"/>
      <c r="BP44" s="162"/>
      <c r="BQ44" s="162"/>
      <c r="BR44" s="162"/>
      <c r="BS44" s="162"/>
      <c r="BT44" s="162"/>
      <c r="BU44" s="162"/>
      <c r="BV44" s="162"/>
      <c r="BW44" s="162"/>
      <c r="BX44" s="162"/>
      <c r="BY44" s="162"/>
      <c r="BZ44" s="162"/>
      <c r="CA44" s="162"/>
      <c r="CB44" s="162"/>
      <c r="CC44" s="162"/>
      <c r="CD44" s="162"/>
      <c r="CE44" s="162"/>
      <c r="CF44" s="162"/>
      <c r="CG44" s="162"/>
      <c r="CH44" s="162"/>
      <c r="CI44" s="162"/>
      <c r="CJ44" s="162"/>
      <c r="CK44" s="162"/>
      <c r="CL44" s="162"/>
      <c r="CM44" s="162"/>
      <c r="CN44" s="162"/>
      <c r="CO44" s="162"/>
      <c r="CP44" s="162"/>
      <c r="CQ44" s="162"/>
      <c r="CR44" s="162"/>
      <c r="CS44" s="162"/>
      <c r="CT44" s="162"/>
      <c r="CU44" s="162"/>
      <c r="CV44" s="162"/>
      <c r="CW44" s="162"/>
      <c r="CX44" s="162"/>
      <c r="CY44" s="162"/>
      <c r="CZ44" s="162"/>
      <c r="DA44" s="162"/>
      <c r="DB44" s="162"/>
      <c r="DC44" s="162"/>
      <c r="DD44" s="162"/>
      <c r="DE44" s="162"/>
      <c r="DF44" s="162"/>
      <c r="DG44" s="162"/>
      <c r="DH44" s="162"/>
      <c r="DI44" s="162"/>
      <c r="DJ44" s="162"/>
      <c r="DK44" s="162"/>
      <c r="DL44" s="162"/>
      <c r="DM44" s="162"/>
      <c r="DN44" s="162"/>
      <c r="DO44" s="162"/>
      <c r="DP44" s="162"/>
      <c r="DQ44" s="162"/>
      <c r="DR44" s="162"/>
      <c r="DS44" s="162"/>
      <c r="DT44" s="162"/>
      <c r="DU44" s="162"/>
      <c r="DV44" s="162"/>
      <c r="DW44" s="162"/>
      <c r="DX44" s="162"/>
      <c r="DY44" s="162"/>
      <c r="DZ44" s="162"/>
      <c r="EA44" s="162"/>
      <c r="EB44" s="162"/>
      <c r="EC44" s="162"/>
      <c r="ED44" s="162"/>
      <c r="EE44" s="162"/>
      <c r="EF44" s="162"/>
      <c r="EG44" s="162"/>
      <c r="EH44" s="162"/>
      <c r="EI44" s="162"/>
      <c r="EJ44" s="162"/>
      <c r="EK44" s="162"/>
      <c r="EL44" s="162"/>
      <c r="EM44" s="162"/>
      <c r="EN44" s="162"/>
      <c r="EO44" s="162"/>
      <c r="EP44" s="162"/>
      <c r="EQ44" s="162"/>
      <c r="ER44" s="162"/>
      <c r="ES44" s="162"/>
      <c r="ET44" s="162"/>
      <c r="EU44" s="162"/>
      <c r="EV44" s="162"/>
      <c r="EW44" s="162"/>
      <c r="EX44" s="162"/>
      <c r="EY44" s="162"/>
      <c r="EZ44" s="162"/>
      <c r="FA44" s="162"/>
      <c r="FB44" s="162"/>
      <c r="FC44" s="162"/>
      <c r="FD44" s="162"/>
      <c r="FE44" s="162"/>
      <c r="FF44" s="162"/>
      <c r="FG44" s="162"/>
      <c r="FH44" s="162"/>
      <c r="FI44" s="162"/>
      <c r="FJ44" s="162"/>
      <c r="FK44" s="162"/>
      <c r="FL44" s="162"/>
      <c r="FM44" s="162"/>
      <c r="FN44" s="162"/>
      <c r="FO44" s="162"/>
      <c r="FP44" s="162"/>
      <c r="FQ44" s="162"/>
      <c r="FR44" s="162"/>
      <c r="FS44" s="162"/>
      <c r="FT44" s="162"/>
      <c r="FU44" s="162"/>
      <c r="FV44" s="162"/>
      <c r="FW44" s="162"/>
      <c r="FX44" s="162"/>
      <c r="FY44" s="162"/>
      <c r="FZ44" s="162"/>
      <c r="GA44" s="162"/>
      <c r="GB44" s="162"/>
      <c r="GC44" s="162"/>
      <c r="GD44" s="162"/>
      <c r="GE44" s="162"/>
      <c r="GF44" s="162"/>
      <c r="GG44" s="162"/>
      <c r="GH44" s="162"/>
      <c r="GI44" s="162"/>
      <c r="GJ44" s="162"/>
      <c r="GK44" s="162"/>
      <c r="GL44" s="162"/>
      <c r="GM44" s="162"/>
      <c r="GN44" s="162"/>
      <c r="GO44" s="162"/>
      <c r="GP44" s="162"/>
      <c r="GQ44" s="162"/>
      <c r="GR44" s="162"/>
      <c r="GS44" s="162"/>
      <c r="GT44" s="162"/>
      <c r="GU44" s="162"/>
      <c r="GV44" s="162"/>
      <c r="GW44" s="162"/>
      <c r="GX44" s="162"/>
      <c r="GY44" s="162"/>
      <c r="GZ44" s="162"/>
      <c r="HA44" s="162"/>
      <c r="HB44" s="162"/>
      <c r="HC44" s="162"/>
      <c r="HD44" s="162"/>
      <c r="HE44" s="162"/>
      <c r="HF44" s="162"/>
      <c r="HG44" s="162"/>
      <c r="HH44" s="162"/>
      <c r="HI44" s="162"/>
      <c r="HJ44" s="162"/>
      <c r="HK44" s="162"/>
      <c r="HL44" s="162"/>
      <c r="HM44" s="162"/>
      <c r="HN44" s="162"/>
      <c r="HO44" s="162"/>
      <c r="HP44" s="162"/>
      <c r="HQ44" s="162"/>
      <c r="HR44" s="162"/>
      <c r="HS44" s="162"/>
      <c r="HT44" s="162"/>
      <c r="HU44" s="162"/>
      <c r="HV44" s="162"/>
      <c r="HW44" s="162"/>
      <c r="HX44" s="162"/>
      <c r="HY44" s="162"/>
      <c r="HZ44" s="162"/>
      <c r="IA44" s="162"/>
      <c r="IB44" s="162"/>
      <c r="IC44" s="162"/>
      <c r="ID44" s="162"/>
      <c r="IE44" s="162"/>
      <c r="IF44" s="162"/>
      <c r="IG44" s="162"/>
      <c r="IH44" s="162"/>
      <c r="II44" s="162"/>
      <c r="IJ44" s="162"/>
      <c r="IK44" s="162"/>
      <c r="IL44" s="162"/>
      <c r="IM44" s="162"/>
      <c r="IN44" s="162"/>
      <c r="IO44" s="162"/>
      <c r="IP44" s="162"/>
    </row>
    <row r="45" spans="1:250" s="44" customFormat="1" x14ac:dyDescent="0.3">
      <c r="A45" s="162"/>
      <c r="B45" s="180" t="s">
        <v>24</v>
      </c>
      <c r="C45" s="180" t="s">
        <v>227</v>
      </c>
      <c r="D45" s="199" t="s">
        <v>241</v>
      </c>
      <c r="E45" s="183" t="s">
        <v>44</v>
      </c>
      <c r="F45" s="181">
        <v>0.2</v>
      </c>
      <c r="G45" s="182">
        <v>0</v>
      </c>
      <c r="H45" s="182">
        <v>25.14</v>
      </c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  <c r="BI45" s="162"/>
      <c r="BJ45" s="162"/>
      <c r="BK45" s="162"/>
      <c r="BL45" s="162"/>
      <c r="BM45" s="162"/>
      <c r="BN45" s="162"/>
      <c r="BO45" s="162"/>
      <c r="BP45" s="162"/>
      <c r="BQ45" s="162"/>
      <c r="BR45" s="162"/>
      <c r="BS45" s="162"/>
      <c r="BT45" s="162"/>
      <c r="BU45" s="162"/>
      <c r="BV45" s="162"/>
      <c r="BW45" s="162"/>
      <c r="BX45" s="162"/>
      <c r="BY45" s="162"/>
      <c r="BZ45" s="162"/>
      <c r="CA45" s="162"/>
      <c r="CB45" s="162"/>
      <c r="CC45" s="162"/>
      <c r="CD45" s="162"/>
      <c r="CE45" s="162"/>
      <c r="CF45" s="162"/>
      <c r="CG45" s="162"/>
      <c r="CH45" s="162"/>
      <c r="CI45" s="162"/>
      <c r="CJ45" s="162"/>
      <c r="CK45" s="162"/>
      <c r="CL45" s="162"/>
      <c r="CM45" s="162"/>
      <c r="CN45" s="162"/>
      <c r="CO45" s="162"/>
      <c r="CP45" s="162"/>
      <c r="CQ45" s="162"/>
      <c r="CR45" s="162"/>
      <c r="CS45" s="162"/>
      <c r="CT45" s="162"/>
      <c r="CU45" s="162"/>
      <c r="CV45" s="162"/>
      <c r="CW45" s="162"/>
      <c r="CX45" s="162"/>
      <c r="CY45" s="162"/>
      <c r="CZ45" s="162"/>
      <c r="DA45" s="162"/>
      <c r="DB45" s="162"/>
      <c r="DC45" s="162"/>
      <c r="DD45" s="162"/>
      <c r="DE45" s="162"/>
      <c r="DF45" s="162"/>
      <c r="DG45" s="162"/>
      <c r="DH45" s="162"/>
      <c r="DI45" s="162"/>
      <c r="DJ45" s="162"/>
      <c r="DK45" s="162"/>
      <c r="DL45" s="162"/>
      <c r="DM45" s="162"/>
      <c r="DN45" s="162"/>
      <c r="DO45" s="162"/>
      <c r="DP45" s="162"/>
      <c r="DQ45" s="162"/>
      <c r="DR45" s="162"/>
      <c r="DS45" s="162"/>
      <c r="DT45" s="162"/>
      <c r="DU45" s="162"/>
      <c r="DV45" s="162"/>
      <c r="DW45" s="162"/>
      <c r="DX45" s="162"/>
      <c r="DY45" s="162"/>
      <c r="DZ45" s="162"/>
      <c r="EA45" s="162"/>
      <c r="EB45" s="162"/>
      <c r="EC45" s="162"/>
      <c r="ED45" s="162"/>
      <c r="EE45" s="162"/>
      <c r="EF45" s="162"/>
      <c r="EG45" s="162"/>
      <c r="EH45" s="162"/>
      <c r="EI45" s="162"/>
      <c r="EJ45" s="162"/>
      <c r="EK45" s="162"/>
      <c r="EL45" s="162"/>
      <c r="EM45" s="162"/>
      <c r="EN45" s="162"/>
      <c r="EO45" s="162"/>
      <c r="EP45" s="162"/>
      <c r="EQ45" s="162"/>
      <c r="ER45" s="162"/>
      <c r="ES45" s="162"/>
      <c r="ET45" s="162"/>
      <c r="EU45" s="162"/>
      <c r="EV45" s="162"/>
      <c r="EW45" s="162"/>
      <c r="EX45" s="162"/>
      <c r="EY45" s="162"/>
      <c r="EZ45" s="162"/>
      <c r="FA45" s="162"/>
      <c r="FB45" s="162"/>
      <c r="FC45" s="162"/>
      <c r="FD45" s="162"/>
      <c r="FE45" s="162"/>
      <c r="FF45" s="162"/>
      <c r="FG45" s="162"/>
      <c r="FH45" s="162"/>
      <c r="FI45" s="162"/>
      <c r="FJ45" s="162"/>
      <c r="FK45" s="162"/>
      <c r="FL45" s="162"/>
      <c r="FM45" s="162"/>
      <c r="FN45" s="162"/>
      <c r="FO45" s="162"/>
      <c r="FP45" s="162"/>
      <c r="FQ45" s="162"/>
      <c r="FR45" s="162"/>
      <c r="FS45" s="162"/>
      <c r="FT45" s="162"/>
      <c r="FU45" s="162"/>
      <c r="FV45" s="162"/>
      <c r="FW45" s="162"/>
      <c r="FX45" s="162"/>
      <c r="FY45" s="162"/>
      <c r="FZ45" s="162"/>
      <c r="GA45" s="162"/>
      <c r="GB45" s="162"/>
      <c r="GC45" s="162"/>
      <c r="GD45" s="162"/>
      <c r="GE45" s="162"/>
      <c r="GF45" s="162"/>
      <c r="GG45" s="162"/>
      <c r="GH45" s="162"/>
      <c r="GI45" s="162"/>
      <c r="GJ45" s="162"/>
      <c r="GK45" s="162"/>
      <c r="GL45" s="162"/>
      <c r="GM45" s="162"/>
      <c r="GN45" s="162"/>
      <c r="GO45" s="162"/>
      <c r="GP45" s="162"/>
      <c r="GQ45" s="162"/>
      <c r="GR45" s="162"/>
      <c r="GS45" s="162"/>
      <c r="GT45" s="162"/>
      <c r="GU45" s="162"/>
      <c r="GV45" s="162"/>
      <c r="GW45" s="162"/>
      <c r="GX45" s="162"/>
      <c r="GY45" s="162"/>
      <c r="GZ45" s="162"/>
      <c r="HA45" s="162"/>
      <c r="HB45" s="162"/>
      <c r="HC45" s="162"/>
      <c r="HD45" s="162"/>
      <c r="HE45" s="162"/>
      <c r="HF45" s="162"/>
      <c r="HG45" s="162"/>
      <c r="HH45" s="162"/>
      <c r="HI45" s="162"/>
      <c r="HJ45" s="162"/>
      <c r="HK45" s="162"/>
      <c r="HL45" s="162"/>
      <c r="HM45" s="162"/>
      <c r="HN45" s="162"/>
      <c r="HO45" s="162"/>
      <c r="HP45" s="162"/>
      <c r="HQ45" s="162"/>
      <c r="HR45" s="162"/>
      <c r="HS45" s="162"/>
      <c r="HT45" s="162"/>
      <c r="HU45" s="162"/>
      <c r="HV45" s="162"/>
      <c r="HW45" s="162"/>
      <c r="HX45" s="162"/>
      <c r="HY45" s="162"/>
      <c r="HZ45" s="162"/>
      <c r="IA45" s="162"/>
      <c r="IB45" s="162"/>
      <c r="IC45" s="162"/>
      <c r="ID45" s="162"/>
      <c r="IE45" s="162"/>
      <c r="IF45" s="162"/>
      <c r="IG45" s="162"/>
      <c r="IH45" s="162"/>
      <c r="II45" s="162"/>
      <c r="IJ45" s="162"/>
      <c r="IK45" s="162"/>
      <c r="IL45" s="162"/>
      <c r="IM45" s="162"/>
      <c r="IN45" s="162"/>
      <c r="IO45" s="162"/>
      <c r="IP45" s="162"/>
    </row>
    <row r="46" spans="1:250" s="44" customFormat="1" x14ac:dyDescent="0.3">
      <c r="A46" s="162"/>
      <c r="B46" s="180" t="s">
        <v>24</v>
      </c>
      <c r="C46" s="180" t="s">
        <v>26</v>
      </c>
      <c r="D46" s="199" t="s">
        <v>45</v>
      </c>
      <c r="E46" s="183" t="s">
        <v>44</v>
      </c>
      <c r="F46" s="181">
        <v>0.2</v>
      </c>
      <c r="G46" s="182">
        <v>0</v>
      </c>
      <c r="H46" s="182">
        <v>18.02</v>
      </c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  <c r="BI46" s="162"/>
      <c r="BJ46" s="162"/>
      <c r="BK46" s="162"/>
      <c r="BL46" s="162"/>
      <c r="BM46" s="162"/>
      <c r="BN46" s="162"/>
      <c r="BO46" s="162"/>
      <c r="BP46" s="162"/>
      <c r="BQ46" s="162"/>
      <c r="BR46" s="162"/>
      <c r="BS46" s="162"/>
      <c r="BT46" s="162"/>
      <c r="BU46" s="162"/>
      <c r="BV46" s="162"/>
      <c r="BW46" s="162"/>
      <c r="BX46" s="162"/>
      <c r="BY46" s="162"/>
      <c r="BZ46" s="162"/>
      <c r="CA46" s="162"/>
      <c r="CB46" s="162"/>
      <c r="CC46" s="162"/>
      <c r="CD46" s="162"/>
      <c r="CE46" s="162"/>
      <c r="CF46" s="162"/>
      <c r="CG46" s="162"/>
      <c r="CH46" s="162"/>
      <c r="CI46" s="162"/>
      <c r="CJ46" s="162"/>
      <c r="CK46" s="162"/>
      <c r="CL46" s="162"/>
      <c r="CM46" s="162"/>
      <c r="CN46" s="162"/>
      <c r="CO46" s="162"/>
      <c r="CP46" s="162"/>
      <c r="CQ46" s="162"/>
      <c r="CR46" s="162"/>
      <c r="CS46" s="162"/>
      <c r="CT46" s="162"/>
      <c r="CU46" s="162"/>
      <c r="CV46" s="162"/>
      <c r="CW46" s="162"/>
      <c r="CX46" s="162"/>
      <c r="CY46" s="162"/>
      <c r="CZ46" s="162"/>
      <c r="DA46" s="162"/>
      <c r="DB46" s="162"/>
      <c r="DC46" s="162"/>
      <c r="DD46" s="162"/>
      <c r="DE46" s="162"/>
      <c r="DF46" s="162"/>
      <c r="DG46" s="162"/>
      <c r="DH46" s="162"/>
      <c r="DI46" s="162"/>
      <c r="DJ46" s="162"/>
      <c r="DK46" s="162"/>
      <c r="DL46" s="162"/>
      <c r="DM46" s="162"/>
      <c r="DN46" s="162"/>
      <c r="DO46" s="162"/>
      <c r="DP46" s="162"/>
      <c r="DQ46" s="162"/>
      <c r="DR46" s="162"/>
      <c r="DS46" s="162"/>
      <c r="DT46" s="162"/>
      <c r="DU46" s="162"/>
      <c r="DV46" s="162"/>
      <c r="DW46" s="162"/>
      <c r="DX46" s="162"/>
      <c r="DY46" s="162"/>
      <c r="DZ46" s="162"/>
      <c r="EA46" s="162"/>
      <c r="EB46" s="162"/>
      <c r="EC46" s="162"/>
      <c r="ED46" s="162"/>
      <c r="EE46" s="162"/>
      <c r="EF46" s="162"/>
      <c r="EG46" s="162"/>
      <c r="EH46" s="162"/>
      <c r="EI46" s="162"/>
      <c r="EJ46" s="162"/>
      <c r="EK46" s="162"/>
      <c r="EL46" s="162"/>
      <c r="EM46" s="162"/>
      <c r="EN46" s="162"/>
      <c r="EO46" s="162"/>
      <c r="EP46" s="162"/>
      <c r="EQ46" s="162"/>
      <c r="ER46" s="162"/>
      <c r="ES46" s="162"/>
      <c r="ET46" s="162"/>
      <c r="EU46" s="162"/>
      <c r="EV46" s="162"/>
      <c r="EW46" s="162"/>
      <c r="EX46" s="162"/>
      <c r="EY46" s="162"/>
      <c r="EZ46" s="162"/>
      <c r="FA46" s="162"/>
      <c r="FB46" s="162"/>
      <c r="FC46" s="162"/>
      <c r="FD46" s="162"/>
      <c r="FE46" s="162"/>
      <c r="FF46" s="162"/>
      <c r="FG46" s="162"/>
      <c r="FH46" s="162"/>
      <c r="FI46" s="162"/>
      <c r="FJ46" s="162"/>
      <c r="FK46" s="162"/>
      <c r="FL46" s="162"/>
      <c r="FM46" s="162"/>
      <c r="FN46" s="162"/>
      <c r="FO46" s="162"/>
      <c r="FP46" s="162"/>
      <c r="FQ46" s="162"/>
      <c r="FR46" s="162"/>
      <c r="FS46" s="162"/>
      <c r="FT46" s="162"/>
      <c r="FU46" s="162"/>
      <c r="FV46" s="162"/>
      <c r="FW46" s="162"/>
      <c r="FX46" s="162"/>
      <c r="FY46" s="162"/>
      <c r="FZ46" s="162"/>
      <c r="GA46" s="162"/>
      <c r="GB46" s="162"/>
      <c r="GC46" s="162"/>
      <c r="GD46" s="162"/>
      <c r="GE46" s="162"/>
      <c r="GF46" s="162"/>
      <c r="GG46" s="162"/>
      <c r="GH46" s="162"/>
      <c r="GI46" s="162"/>
      <c r="GJ46" s="162"/>
      <c r="GK46" s="162"/>
      <c r="GL46" s="162"/>
      <c r="GM46" s="162"/>
      <c r="GN46" s="162"/>
      <c r="GO46" s="162"/>
      <c r="GP46" s="162"/>
      <c r="GQ46" s="162"/>
      <c r="GR46" s="162"/>
      <c r="GS46" s="162"/>
      <c r="GT46" s="162"/>
      <c r="GU46" s="162"/>
      <c r="GV46" s="162"/>
      <c r="GW46" s="162"/>
      <c r="GX46" s="162"/>
      <c r="GY46" s="162"/>
      <c r="GZ46" s="162"/>
      <c r="HA46" s="162"/>
      <c r="HB46" s="162"/>
      <c r="HC46" s="162"/>
      <c r="HD46" s="162"/>
      <c r="HE46" s="162"/>
      <c r="HF46" s="162"/>
      <c r="HG46" s="162"/>
      <c r="HH46" s="162"/>
      <c r="HI46" s="162"/>
      <c r="HJ46" s="162"/>
      <c r="HK46" s="162"/>
      <c r="HL46" s="162"/>
      <c r="HM46" s="162"/>
      <c r="HN46" s="162"/>
      <c r="HO46" s="162"/>
      <c r="HP46" s="162"/>
      <c r="HQ46" s="162"/>
      <c r="HR46" s="162"/>
      <c r="HS46" s="162"/>
      <c r="HT46" s="162"/>
      <c r="HU46" s="162"/>
      <c r="HV46" s="162"/>
      <c r="HW46" s="162"/>
      <c r="HX46" s="162"/>
      <c r="HY46" s="162"/>
      <c r="HZ46" s="162"/>
      <c r="IA46" s="162"/>
      <c r="IB46" s="162"/>
      <c r="IC46" s="162"/>
      <c r="ID46" s="162"/>
      <c r="IE46" s="162"/>
      <c r="IF46" s="162"/>
      <c r="IG46" s="162"/>
      <c r="IH46" s="162"/>
      <c r="II46" s="162"/>
      <c r="IJ46" s="162"/>
      <c r="IK46" s="162"/>
      <c r="IL46" s="162"/>
      <c r="IM46" s="162"/>
      <c r="IN46" s="162"/>
      <c r="IO46" s="162"/>
      <c r="IP46" s="162"/>
    </row>
    <row r="47" spans="1:250" s="44" customFormat="1" x14ac:dyDescent="0.3">
      <c r="A47" s="193"/>
      <c r="B47" s="194"/>
      <c r="C47" s="195"/>
      <c r="D47" s="196"/>
      <c r="E47" s="194"/>
      <c r="F47" s="194"/>
      <c r="G47" s="197"/>
      <c r="H47" s="194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  <c r="BI47" s="162"/>
      <c r="BJ47" s="162"/>
      <c r="BK47" s="162"/>
      <c r="BL47" s="162"/>
      <c r="BM47" s="162"/>
      <c r="BN47" s="162"/>
      <c r="BO47" s="162"/>
      <c r="BP47" s="162"/>
      <c r="BQ47" s="162"/>
      <c r="BR47" s="162"/>
      <c r="BS47" s="162"/>
      <c r="BT47" s="162"/>
      <c r="BU47" s="162"/>
      <c r="BV47" s="162"/>
      <c r="BW47" s="162"/>
      <c r="BX47" s="162"/>
      <c r="BY47" s="162"/>
      <c r="BZ47" s="162"/>
      <c r="CA47" s="162"/>
      <c r="CB47" s="162"/>
      <c r="CC47" s="162"/>
      <c r="CD47" s="162"/>
      <c r="CE47" s="162"/>
      <c r="CF47" s="162"/>
      <c r="CG47" s="162"/>
      <c r="CH47" s="162"/>
      <c r="CI47" s="162"/>
      <c r="CJ47" s="162"/>
      <c r="CK47" s="162"/>
      <c r="CL47" s="162"/>
      <c r="CM47" s="162"/>
      <c r="CN47" s="162"/>
      <c r="CO47" s="162"/>
      <c r="CP47" s="162"/>
      <c r="CQ47" s="162"/>
      <c r="CR47" s="162"/>
      <c r="CS47" s="162"/>
      <c r="CT47" s="162"/>
      <c r="CU47" s="162"/>
      <c r="CV47" s="162"/>
      <c r="CW47" s="162"/>
      <c r="CX47" s="162"/>
      <c r="CY47" s="162"/>
      <c r="CZ47" s="162"/>
      <c r="DA47" s="162"/>
      <c r="DB47" s="162"/>
      <c r="DC47" s="162"/>
      <c r="DD47" s="162"/>
      <c r="DE47" s="162"/>
      <c r="DF47" s="162"/>
      <c r="DG47" s="162"/>
      <c r="DH47" s="162"/>
      <c r="DI47" s="162"/>
      <c r="DJ47" s="162"/>
      <c r="DK47" s="162"/>
      <c r="DL47" s="162"/>
      <c r="DM47" s="162"/>
      <c r="DN47" s="162"/>
      <c r="DO47" s="162"/>
      <c r="DP47" s="162"/>
      <c r="DQ47" s="162"/>
      <c r="DR47" s="162"/>
      <c r="DS47" s="162"/>
      <c r="DT47" s="162"/>
      <c r="DU47" s="162"/>
      <c r="DV47" s="162"/>
      <c r="DW47" s="162"/>
      <c r="DX47" s="162"/>
      <c r="DY47" s="162"/>
      <c r="DZ47" s="162"/>
      <c r="EA47" s="162"/>
      <c r="EB47" s="162"/>
      <c r="EC47" s="162"/>
      <c r="ED47" s="162"/>
      <c r="EE47" s="162"/>
      <c r="EF47" s="162"/>
      <c r="EG47" s="162"/>
      <c r="EH47" s="162"/>
      <c r="EI47" s="162"/>
      <c r="EJ47" s="162"/>
      <c r="EK47" s="162"/>
      <c r="EL47" s="162"/>
      <c r="EM47" s="162"/>
      <c r="EN47" s="162"/>
      <c r="EO47" s="162"/>
      <c r="EP47" s="162"/>
      <c r="EQ47" s="162"/>
      <c r="ER47" s="162"/>
      <c r="ES47" s="162"/>
      <c r="ET47" s="162"/>
      <c r="EU47" s="162"/>
      <c r="EV47" s="162"/>
      <c r="EW47" s="162"/>
      <c r="EX47" s="162"/>
      <c r="EY47" s="162"/>
      <c r="EZ47" s="162"/>
      <c r="FA47" s="162"/>
      <c r="FB47" s="162"/>
      <c r="FC47" s="162"/>
      <c r="FD47" s="162"/>
      <c r="FE47" s="162"/>
      <c r="FF47" s="162"/>
      <c r="FG47" s="162"/>
      <c r="FH47" s="162"/>
      <c r="FI47" s="162"/>
      <c r="FJ47" s="162"/>
      <c r="FK47" s="162"/>
      <c r="FL47" s="162"/>
      <c r="FM47" s="162"/>
      <c r="FN47" s="162"/>
      <c r="FO47" s="162"/>
      <c r="FP47" s="162"/>
      <c r="FQ47" s="162"/>
      <c r="FR47" s="162"/>
      <c r="FS47" s="162"/>
      <c r="FT47" s="162"/>
      <c r="FU47" s="162"/>
      <c r="FV47" s="162"/>
      <c r="FW47" s="162"/>
      <c r="FX47" s="162"/>
      <c r="FY47" s="162"/>
      <c r="FZ47" s="162"/>
      <c r="GA47" s="162"/>
      <c r="GB47" s="162"/>
      <c r="GC47" s="162"/>
      <c r="GD47" s="162"/>
      <c r="GE47" s="162"/>
      <c r="GF47" s="162"/>
      <c r="GG47" s="162"/>
      <c r="GH47" s="162"/>
      <c r="GI47" s="162"/>
      <c r="GJ47" s="162"/>
      <c r="GK47" s="162"/>
      <c r="GL47" s="162"/>
      <c r="GM47" s="162"/>
      <c r="GN47" s="162"/>
      <c r="GO47" s="162"/>
      <c r="GP47" s="162"/>
      <c r="GQ47" s="162"/>
      <c r="GR47" s="162"/>
      <c r="GS47" s="162"/>
      <c r="GT47" s="162"/>
      <c r="GU47" s="162"/>
      <c r="GV47" s="162"/>
      <c r="GW47" s="162"/>
      <c r="GX47" s="162"/>
      <c r="GY47" s="162"/>
      <c r="GZ47" s="162"/>
      <c r="HA47" s="162"/>
      <c r="HB47" s="162"/>
      <c r="HC47" s="162"/>
      <c r="HD47" s="162"/>
      <c r="HE47" s="162"/>
      <c r="HF47" s="162"/>
      <c r="HG47" s="162"/>
      <c r="HH47" s="162"/>
      <c r="HI47" s="162"/>
      <c r="HJ47" s="162"/>
      <c r="HK47" s="162"/>
      <c r="HL47" s="162"/>
      <c r="HM47" s="162"/>
      <c r="HN47" s="162"/>
      <c r="HO47" s="162"/>
      <c r="HP47" s="162"/>
      <c r="HQ47" s="162"/>
      <c r="HR47" s="162"/>
      <c r="HS47" s="162"/>
      <c r="HT47" s="162"/>
      <c r="HU47" s="162"/>
      <c r="HV47" s="162"/>
      <c r="HW47" s="162"/>
      <c r="HX47" s="162"/>
      <c r="HY47" s="162"/>
      <c r="HZ47" s="162"/>
      <c r="IA47" s="162"/>
      <c r="IB47" s="162"/>
      <c r="IC47" s="162"/>
      <c r="ID47" s="162"/>
      <c r="IE47" s="162"/>
      <c r="IF47" s="162"/>
      <c r="IG47" s="162"/>
      <c r="IH47" s="162"/>
      <c r="II47" s="162"/>
      <c r="IJ47" s="162"/>
      <c r="IK47" s="162"/>
      <c r="IL47" s="162"/>
      <c r="IM47" s="162"/>
      <c r="IN47" s="162"/>
      <c r="IO47" s="162"/>
      <c r="IP47" s="162"/>
    </row>
    <row r="48" spans="1:250" s="44" customFormat="1" x14ac:dyDescent="0.3">
      <c r="D48" s="46"/>
      <c r="E48" s="43"/>
      <c r="F48" s="43"/>
      <c r="G48" s="43"/>
      <c r="H48" s="43"/>
    </row>
    <row r="49" spans="2:8" s="44" customFormat="1" x14ac:dyDescent="0.3">
      <c r="D49" s="46"/>
      <c r="E49" s="43"/>
      <c r="F49" s="43"/>
      <c r="G49" s="43"/>
      <c r="H49" s="43"/>
    </row>
    <row r="50" spans="2:8" s="44" customFormat="1" x14ac:dyDescent="0.3">
      <c r="B50" s="44" t="str">
        <f>'PLANILHA ORÇAMENTÁRIA'!B83</f>
        <v>DATA:</v>
      </c>
      <c r="D50" s="46"/>
      <c r="E50" s="43"/>
      <c r="F50" s="43"/>
      <c r="G50" s="43"/>
      <c r="H50" s="43"/>
    </row>
    <row r="51" spans="2:8" s="44" customFormat="1" ht="13.8" customHeight="1" x14ac:dyDescent="0.3">
      <c r="B51" s="198"/>
      <c r="D51" s="46"/>
      <c r="E51" s="43"/>
      <c r="F51" s="43"/>
      <c r="G51" s="43"/>
      <c r="H51" s="43"/>
    </row>
    <row r="52" spans="2:8" s="44" customFormat="1" x14ac:dyDescent="0.3">
      <c r="D52" s="316" t="str">
        <f>'PLANILHA ORÇAMENTÁRIA'!B87</f>
        <v>XXXXXXXXXXXXXXXXX</v>
      </c>
      <c r="E52" s="43"/>
      <c r="F52" s="43"/>
      <c r="G52" s="43"/>
      <c r="H52" s="43"/>
    </row>
    <row r="53" spans="2:8" s="44" customFormat="1" x14ac:dyDescent="0.3">
      <c r="B53" s="43"/>
      <c r="D53" s="316" t="str">
        <f>'PLANILHA ORÇAMENTÁRIA'!B88</f>
        <v>REPRESENTANTE LEGAL</v>
      </c>
      <c r="E53" s="43"/>
      <c r="F53" s="43"/>
      <c r="G53" s="43"/>
      <c r="H53" s="43"/>
    </row>
    <row r="54" spans="2:8" s="44" customFormat="1" x14ac:dyDescent="0.3">
      <c r="B54" s="43"/>
      <c r="D54" s="316" t="str">
        <f>'PLANILHA ORÇAMENTÁRIA'!B89</f>
        <v>NOME DA EMPRESA LICITANTE</v>
      </c>
      <c r="E54" s="43"/>
      <c r="F54" s="43"/>
      <c r="G54" s="43"/>
      <c r="H54" s="43"/>
    </row>
    <row r="55" spans="2:8" s="44" customFormat="1" x14ac:dyDescent="0.3">
      <c r="D55" s="46"/>
      <c r="E55" s="43"/>
      <c r="F55" s="43"/>
      <c r="G55" s="43"/>
      <c r="H55" s="43"/>
    </row>
    <row r="56" spans="2:8" s="44" customFormat="1" x14ac:dyDescent="0.3">
      <c r="D56" s="46"/>
      <c r="E56" s="43"/>
      <c r="F56" s="43"/>
      <c r="G56" s="43"/>
      <c r="H56" s="43"/>
    </row>
  </sheetData>
  <mergeCells count="2">
    <mergeCell ref="B8:H8"/>
    <mergeCell ref="B4:H4"/>
  </mergeCells>
  <dataValidations disablePrompts="1" count="1">
    <dataValidation type="list" allowBlank="1" showInputMessage="1" showErrorMessage="1" sqref="JA25:JA38 SW25:SW38 ACS25:ACS38 AMO25:AMO38 AWK25:AWK38 BGG25:BGG38 BQC25:BQC38 BZY25:BZY38 CJU25:CJU38 CTQ25:CTQ38 DDM25:DDM38 DNI25:DNI38 DXE25:DXE38 EHA25:EHA38 EQW25:EQW38 FAS25:FAS38 FKO25:FKO38 FUK25:FUK38 GEG25:GEG38 GOC25:GOC38 GXY25:GXY38 HHU25:HHU38 HRQ25:HRQ38 IBM25:IBM38 ILI25:ILI38 IVE25:IVE38 JFA25:JFA38 JOW25:JOW38 JYS25:JYS38 KIO25:KIO38 KSK25:KSK38 LCG25:LCG38 LMC25:LMC38 LVY25:LVY38 MFU25:MFU38 MPQ25:MPQ38 MZM25:MZM38 NJI25:NJI38 NTE25:NTE38 ODA25:ODA38 OMW25:OMW38 OWS25:OWS38 PGO25:PGO38 PQK25:PQK38 QAG25:QAG38 QKC25:QKC38 QTY25:QTY38 RDU25:RDU38 RNQ25:RNQ38 RXM25:RXM38 SHI25:SHI38 SRE25:SRE38 TBA25:TBA38 TKW25:TKW38 TUS25:TUS38 UEO25:UEO38 UOK25:UOK38 UYG25:UYG38 VIC25:VIC38 VRY25:VRY38 WBU25:WBU38 WLQ25:WLQ38 WVM25:WVM38" xr:uid="{3CC47A43-CD47-4467-838C-0FB1832EF3BB}">
      <formula1>"Sim,Não"</formula1>
    </dataValidation>
  </dataValidations>
  <pageMargins left="0.51181102362204722" right="0.51181102362204722" top="0.78740157480314965" bottom="0.78740157480314965" header="0.31496062992125984" footer="0.31496062992125984"/>
  <pageSetup paperSize="9" scale="60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E571E-1E14-4232-89B6-A26F0A8CF236}">
  <dimension ref="A1:T46"/>
  <sheetViews>
    <sheetView topLeftCell="A22" workbookViewId="0">
      <selection activeCell="C38" sqref="C38"/>
    </sheetView>
  </sheetViews>
  <sheetFormatPr defaultColWidth="9.109375" defaultRowHeight="13.8" x14ac:dyDescent="0.3"/>
  <cols>
    <col min="1" max="1" width="11.6640625" style="60" customWidth="1"/>
    <col min="2" max="2" width="10.44140625" style="60" customWidth="1"/>
    <col min="3" max="3" width="65.109375" style="60" customWidth="1"/>
    <col min="4" max="4" width="14.33203125" style="62" customWidth="1"/>
    <col min="5" max="5" width="13.5546875" style="62" customWidth="1"/>
    <col min="6" max="7" width="12.6640625" style="60" customWidth="1"/>
    <col min="8" max="8" width="13.88671875" style="60" customWidth="1"/>
    <col min="9" max="9" width="12.88671875" style="60" customWidth="1"/>
    <col min="10" max="11" width="12.6640625" style="60" customWidth="1"/>
    <col min="12" max="12" width="5.33203125" style="60" customWidth="1"/>
    <col min="13" max="13" width="14.6640625" style="209" bestFit="1" customWidth="1"/>
    <col min="14" max="256" width="9.109375" style="60"/>
    <col min="257" max="257" width="11.6640625" style="60" customWidth="1"/>
    <col min="258" max="258" width="10.44140625" style="60" customWidth="1"/>
    <col min="259" max="259" width="65.109375" style="60" customWidth="1"/>
    <col min="260" max="260" width="14.33203125" style="60" customWidth="1"/>
    <col min="261" max="261" width="13.5546875" style="60" customWidth="1"/>
    <col min="262" max="263" width="12.6640625" style="60" customWidth="1"/>
    <col min="264" max="264" width="13.88671875" style="60" customWidth="1"/>
    <col min="265" max="265" width="12.88671875" style="60" customWidth="1"/>
    <col min="266" max="267" width="12.6640625" style="60" customWidth="1"/>
    <col min="268" max="268" width="5.33203125" style="60" customWidth="1"/>
    <col min="269" max="269" width="14.6640625" style="60" bestFit="1" customWidth="1"/>
    <col min="270" max="512" width="9.109375" style="60"/>
    <col min="513" max="513" width="11.6640625" style="60" customWidth="1"/>
    <col min="514" max="514" width="10.44140625" style="60" customWidth="1"/>
    <col min="515" max="515" width="65.109375" style="60" customWidth="1"/>
    <col min="516" max="516" width="14.33203125" style="60" customWidth="1"/>
    <col min="517" max="517" width="13.5546875" style="60" customWidth="1"/>
    <col min="518" max="519" width="12.6640625" style="60" customWidth="1"/>
    <col min="520" max="520" width="13.88671875" style="60" customWidth="1"/>
    <col min="521" max="521" width="12.88671875" style="60" customWidth="1"/>
    <col min="522" max="523" width="12.6640625" style="60" customWidth="1"/>
    <col min="524" max="524" width="5.33203125" style="60" customWidth="1"/>
    <col min="525" max="525" width="14.6640625" style="60" bestFit="1" customWidth="1"/>
    <col min="526" max="768" width="9.109375" style="60"/>
    <col min="769" max="769" width="11.6640625" style="60" customWidth="1"/>
    <col min="770" max="770" width="10.44140625" style="60" customWidth="1"/>
    <col min="771" max="771" width="65.109375" style="60" customWidth="1"/>
    <col min="772" max="772" width="14.33203125" style="60" customWidth="1"/>
    <col min="773" max="773" width="13.5546875" style="60" customWidth="1"/>
    <col min="774" max="775" width="12.6640625" style="60" customWidth="1"/>
    <col min="776" max="776" width="13.88671875" style="60" customWidth="1"/>
    <col min="777" max="777" width="12.88671875" style="60" customWidth="1"/>
    <col min="778" max="779" width="12.6640625" style="60" customWidth="1"/>
    <col min="780" max="780" width="5.33203125" style="60" customWidth="1"/>
    <col min="781" max="781" width="14.6640625" style="60" bestFit="1" customWidth="1"/>
    <col min="782" max="1024" width="9.109375" style="60"/>
    <col min="1025" max="1025" width="11.6640625" style="60" customWidth="1"/>
    <col min="1026" max="1026" width="10.44140625" style="60" customWidth="1"/>
    <col min="1027" max="1027" width="65.109375" style="60" customWidth="1"/>
    <col min="1028" max="1028" width="14.33203125" style="60" customWidth="1"/>
    <col min="1029" max="1029" width="13.5546875" style="60" customWidth="1"/>
    <col min="1030" max="1031" width="12.6640625" style="60" customWidth="1"/>
    <col min="1032" max="1032" width="13.88671875" style="60" customWidth="1"/>
    <col min="1033" max="1033" width="12.88671875" style="60" customWidth="1"/>
    <col min="1034" max="1035" width="12.6640625" style="60" customWidth="1"/>
    <col min="1036" max="1036" width="5.33203125" style="60" customWidth="1"/>
    <col min="1037" max="1037" width="14.6640625" style="60" bestFit="1" customWidth="1"/>
    <col min="1038" max="1280" width="9.109375" style="60"/>
    <col min="1281" max="1281" width="11.6640625" style="60" customWidth="1"/>
    <col min="1282" max="1282" width="10.44140625" style="60" customWidth="1"/>
    <col min="1283" max="1283" width="65.109375" style="60" customWidth="1"/>
    <col min="1284" max="1284" width="14.33203125" style="60" customWidth="1"/>
    <col min="1285" max="1285" width="13.5546875" style="60" customWidth="1"/>
    <col min="1286" max="1287" width="12.6640625" style="60" customWidth="1"/>
    <col min="1288" max="1288" width="13.88671875" style="60" customWidth="1"/>
    <col min="1289" max="1289" width="12.88671875" style="60" customWidth="1"/>
    <col min="1290" max="1291" width="12.6640625" style="60" customWidth="1"/>
    <col min="1292" max="1292" width="5.33203125" style="60" customWidth="1"/>
    <col min="1293" max="1293" width="14.6640625" style="60" bestFit="1" customWidth="1"/>
    <col min="1294" max="1536" width="9.109375" style="60"/>
    <col min="1537" max="1537" width="11.6640625" style="60" customWidth="1"/>
    <col min="1538" max="1538" width="10.44140625" style="60" customWidth="1"/>
    <col min="1539" max="1539" width="65.109375" style="60" customWidth="1"/>
    <col min="1540" max="1540" width="14.33203125" style="60" customWidth="1"/>
    <col min="1541" max="1541" width="13.5546875" style="60" customWidth="1"/>
    <col min="1542" max="1543" width="12.6640625" style="60" customWidth="1"/>
    <col min="1544" max="1544" width="13.88671875" style="60" customWidth="1"/>
    <col min="1545" max="1545" width="12.88671875" style="60" customWidth="1"/>
    <col min="1546" max="1547" width="12.6640625" style="60" customWidth="1"/>
    <col min="1548" max="1548" width="5.33203125" style="60" customWidth="1"/>
    <col min="1549" max="1549" width="14.6640625" style="60" bestFit="1" customWidth="1"/>
    <col min="1550" max="1792" width="9.109375" style="60"/>
    <col min="1793" max="1793" width="11.6640625" style="60" customWidth="1"/>
    <col min="1794" max="1794" width="10.44140625" style="60" customWidth="1"/>
    <col min="1795" max="1795" width="65.109375" style="60" customWidth="1"/>
    <col min="1796" max="1796" width="14.33203125" style="60" customWidth="1"/>
    <col min="1797" max="1797" width="13.5546875" style="60" customWidth="1"/>
    <col min="1798" max="1799" width="12.6640625" style="60" customWidth="1"/>
    <col min="1800" max="1800" width="13.88671875" style="60" customWidth="1"/>
    <col min="1801" max="1801" width="12.88671875" style="60" customWidth="1"/>
    <col min="1802" max="1803" width="12.6640625" style="60" customWidth="1"/>
    <col min="1804" max="1804" width="5.33203125" style="60" customWidth="1"/>
    <col min="1805" max="1805" width="14.6640625" style="60" bestFit="1" customWidth="1"/>
    <col min="1806" max="2048" width="9.109375" style="60"/>
    <col min="2049" max="2049" width="11.6640625" style="60" customWidth="1"/>
    <col min="2050" max="2050" width="10.44140625" style="60" customWidth="1"/>
    <col min="2051" max="2051" width="65.109375" style="60" customWidth="1"/>
    <col min="2052" max="2052" width="14.33203125" style="60" customWidth="1"/>
    <col min="2053" max="2053" width="13.5546875" style="60" customWidth="1"/>
    <col min="2054" max="2055" width="12.6640625" style="60" customWidth="1"/>
    <col min="2056" max="2056" width="13.88671875" style="60" customWidth="1"/>
    <col min="2057" max="2057" width="12.88671875" style="60" customWidth="1"/>
    <col min="2058" max="2059" width="12.6640625" style="60" customWidth="1"/>
    <col min="2060" max="2060" width="5.33203125" style="60" customWidth="1"/>
    <col min="2061" max="2061" width="14.6640625" style="60" bestFit="1" customWidth="1"/>
    <col min="2062" max="2304" width="9.109375" style="60"/>
    <col min="2305" max="2305" width="11.6640625" style="60" customWidth="1"/>
    <col min="2306" max="2306" width="10.44140625" style="60" customWidth="1"/>
    <col min="2307" max="2307" width="65.109375" style="60" customWidth="1"/>
    <col min="2308" max="2308" width="14.33203125" style="60" customWidth="1"/>
    <col min="2309" max="2309" width="13.5546875" style="60" customWidth="1"/>
    <col min="2310" max="2311" width="12.6640625" style="60" customWidth="1"/>
    <col min="2312" max="2312" width="13.88671875" style="60" customWidth="1"/>
    <col min="2313" max="2313" width="12.88671875" style="60" customWidth="1"/>
    <col min="2314" max="2315" width="12.6640625" style="60" customWidth="1"/>
    <col min="2316" max="2316" width="5.33203125" style="60" customWidth="1"/>
    <col min="2317" max="2317" width="14.6640625" style="60" bestFit="1" customWidth="1"/>
    <col min="2318" max="2560" width="9.109375" style="60"/>
    <col min="2561" max="2561" width="11.6640625" style="60" customWidth="1"/>
    <col min="2562" max="2562" width="10.44140625" style="60" customWidth="1"/>
    <col min="2563" max="2563" width="65.109375" style="60" customWidth="1"/>
    <col min="2564" max="2564" width="14.33203125" style="60" customWidth="1"/>
    <col min="2565" max="2565" width="13.5546875" style="60" customWidth="1"/>
    <col min="2566" max="2567" width="12.6640625" style="60" customWidth="1"/>
    <col min="2568" max="2568" width="13.88671875" style="60" customWidth="1"/>
    <col min="2569" max="2569" width="12.88671875" style="60" customWidth="1"/>
    <col min="2570" max="2571" width="12.6640625" style="60" customWidth="1"/>
    <col min="2572" max="2572" width="5.33203125" style="60" customWidth="1"/>
    <col min="2573" max="2573" width="14.6640625" style="60" bestFit="1" customWidth="1"/>
    <col min="2574" max="2816" width="9.109375" style="60"/>
    <col min="2817" max="2817" width="11.6640625" style="60" customWidth="1"/>
    <col min="2818" max="2818" width="10.44140625" style="60" customWidth="1"/>
    <col min="2819" max="2819" width="65.109375" style="60" customWidth="1"/>
    <col min="2820" max="2820" width="14.33203125" style="60" customWidth="1"/>
    <col min="2821" max="2821" width="13.5546875" style="60" customWidth="1"/>
    <col min="2822" max="2823" width="12.6640625" style="60" customWidth="1"/>
    <col min="2824" max="2824" width="13.88671875" style="60" customWidth="1"/>
    <col min="2825" max="2825" width="12.88671875" style="60" customWidth="1"/>
    <col min="2826" max="2827" width="12.6640625" style="60" customWidth="1"/>
    <col min="2828" max="2828" width="5.33203125" style="60" customWidth="1"/>
    <col min="2829" max="2829" width="14.6640625" style="60" bestFit="1" customWidth="1"/>
    <col min="2830" max="3072" width="9.109375" style="60"/>
    <col min="3073" max="3073" width="11.6640625" style="60" customWidth="1"/>
    <col min="3074" max="3074" width="10.44140625" style="60" customWidth="1"/>
    <col min="3075" max="3075" width="65.109375" style="60" customWidth="1"/>
    <col min="3076" max="3076" width="14.33203125" style="60" customWidth="1"/>
    <col min="3077" max="3077" width="13.5546875" style="60" customWidth="1"/>
    <col min="3078" max="3079" width="12.6640625" style="60" customWidth="1"/>
    <col min="3080" max="3080" width="13.88671875" style="60" customWidth="1"/>
    <col min="3081" max="3081" width="12.88671875" style="60" customWidth="1"/>
    <col min="3082" max="3083" width="12.6640625" style="60" customWidth="1"/>
    <col min="3084" max="3084" width="5.33203125" style="60" customWidth="1"/>
    <col min="3085" max="3085" width="14.6640625" style="60" bestFit="1" customWidth="1"/>
    <col min="3086" max="3328" width="9.109375" style="60"/>
    <col min="3329" max="3329" width="11.6640625" style="60" customWidth="1"/>
    <col min="3330" max="3330" width="10.44140625" style="60" customWidth="1"/>
    <col min="3331" max="3331" width="65.109375" style="60" customWidth="1"/>
    <col min="3332" max="3332" width="14.33203125" style="60" customWidth="1"/>
    <col min="3333" max="3333" width="13.5546875" style="60" customWidth="1"/>
    <col min="3334" max="3335" width="12.6640625" style="60" customWidth="1"/>
    <col min="3336" max="3336" width="13.88671875" style="60" customWidth="1"/>
    <col min="3337" max="3337" width="12.88671875" style="60" customWidth="1"/>
    <col min="3338" max="3339" width="12.6640625" style="60" customWidth="1"/>
    <col min="3340" max="3340" width="5.33203125" style="60" customWidth="1"/>
    <col min="3341" max="3341" width="14.6640625" style="60" bestFit="1" customWidth="1"/>
    <col min="3342" max="3584" width="9.109375" style="60"/>
    <col min="3585" max="3585" width="11.6640625" style="60" customWidth="1"/>
    <col min="3586" max="3586" width="10.44140625" style="60" customWidth="1"/>
    <col min="3587" max="3587" width="65.109375" style="60" customWidth="1"/>
    <col min="3588" max="3588" width="14.33203125" style="60" customWidth="1"/>
    <col min="3589" max="3589" width="13.5546875" style="60" customWidth="1"/>
    <col min="3590" max="3591" width="12.6640625" style="60" customWidth="1"/>
    <col min="3592" max="3592" width="13.88671875" style="60" customWidth="1"/>
    <col min="3593" max="3593" width="12.88671875" style="60" customWidth="1"/>
    <col min="3594" max="3595" width="12.6640625" style="60" customWidth="1"/>
    <col min="3596" max="3596" width="5.33203125" style="60" customWidth="1"/>
    <col min="3597" max="3597" width="14.6640625" style="60" bestFit="1" customWidth="1"/>
    <col min="3598" max="3840" width="9.109375" style="60"/>
    <col min="3841" max="3841" width="11.6640625" style="60" customWidth="1"/>
    <col min="3842" max="3842" width="10.44140625" style="60" customWidth="1"/>
    <col min="3843" max="3843" width="65.109375" style="60" customWidth="1"/>
    <col min="3844" max="3844" width="14.33203125" style="60" customWidth="1"/>
    <col min="3845" max="3845" width="13.5546875" style="60" customWidth="1"/>
    <col min="3846" max="3847" width="12.6640625" style="60" customWidth="1"/>
    <col min="3848" max="3848" width="13.88671875" style="60" customWidth="1"/>
    <col min="3849" max="3849" width="12.88671875" style="60" customWidth="1"/>
    <col min="3850" max="3851" width="12.6640625" style="60" customWidth="1"/>
    <col min="3852" max="3852" width="5.33203125" style="60" customWidth="1"/>
    <col min="3853" max="3853" width="14.6640625" style="60" bestFit="1" customWidth="1"/>
    <col min="3854" max="4096" width="9.109375" style="60"/>
    <col min="4097" max="4097" width="11.6640625" style="60" customWidth="1"/>
    <col min="4098" max="4098" width="10.44140625" style="60" customWidth="1"/>
    <col min="4099" max="4099" width="65.109375" style="60" customWidth="1"/>
    <col min="4100" max="4100" width="14.33203125" style="60" customWidth="1"/>
    <col min="4101" max="4101" width="13.5546875" style="60" customWidth="1"/>
    <col min="4102" max="4103" width="12.6640625" style="60" customWidth="1"/>
    <col min="4104" max="4104" width="13.88671875" style="60" customWidth="1"/>
    <col min="4105" max="4105" width="12.88671875" style="60" customWidth="1"/>
    <col min="4106" max="4107" width="12.6640625" style="60" customWidth="1"/>
    <col min="4108" max="4108" width="5.33203125" style="60" customWidth="1"/>
    <col min="4109" max="4109" width="14.6640625" style="60" bestFit="1" customWidth="1"/>
    <col min="4110" max="4352" width="9.109375" style="60"/>
    <col min="4353" max="4353" width="11.6640625" style="60" customWidth="1"/>
    <col min="4354" max="4354" width="10.44140625" style="60" customWidth="1"/>
    <col min="4355" max="4355" width="65.109375" style="60" customWidth="1"/>
    <col min="4356" max="4356" width="14.33203125" style="60" customWidth="1"/>
    <col min="4357" max="4357" width="13.5546875" style="60" customWidth="1"/>
    <col min="4358" max="4359" width="12.6640625" style="60" customWidth="1"/>
    <col min="4360" max="4360" width="13.88671875" style="60" customWidth="1"/>
    <col min="4361" max="4361" width="12.88671875" style="60" customWidth="1"/>
    <col min="4362" max="4363" width="12.6640625" style="60" customWidth="1"/>
    <col min="4364" max="4364" width="5.33203125" style="60" customWidth="1"/>
    <col min="4365" max="4365" width="14.6640625" style="60" bestFit="1" customWidth="1"/>
    <col min="4366" max="4608" width="9.109375" style="60"/>
    <col min="4609" max="4609" width="11.6640625" style="60" customWidth="1"/>
    <col min="4610" max="4610" width="10.44140625" style="60" customWidth="1"/>
    <col min="4611" max="4611" width="65.109375" style="60" customWidth="1"/>
    <col min="4612" max="4612" width="14.33203125" style="60" customWidth="1"/>
    <col min="4613" max="4613" width="13.5546875" style="60" customWidth="1"/>
    <col min="4614" max="4615" width="12.6640625" style="60" customWidth="1"/>
    <col min="4616" max="4616" width="13.88671875" style="60" customWidth="1"/>
    <col min="4617" max="4617" width="12.88671875" style="60" customWidth="1"/>
    <col min="4618" max="4619" width="12.6640625" style="60" customWidth="1"/>
    <col min="4620" max="4620" width="5.33203125" style="60" customWidth="1"/>
    <col min="4621" max="4621" width="14.6640625" style="60" bestFit="1" customWidth="1"/>
    <col min="4622" max="4864" width="9.109375" style="60"/>
    <col min="4865" max="4865" width="11.6640625" style="60" customWidth="1"/>
    <col min="4866" max="4866" width="10.44140625" style="60" customWidth="1"/>
    <col min="4867" max="4867" width="65.109375" style="60" customWidth="1"/>
    <col min="4868" max="4868" width="14.33203125" style="60" customWidth="1"/>
    <col min="4869" max="4869" width="13.5546875" style="60" customWidth="1"/>
    <col min="4870" max="4871" width="12.6640625" style="60" customWidth="1"/>
    <col min="4872" max="4872" width="13.88671875" style="60" customWidth="1"/>
    <col min="4873" max="4873" width="12.88671875" style="60" customWidth="1"/>
    <col min="4874" max="4875" width="12.6640625" style="60" customWidth="1"/>
    <col min="4876" max="4876" width="5.33203125" style="60" customWidth="1"/>
    <col min="4877" max="4877" width="14.6640625" style="60" bestFit="1" customWidth="1"/>
    <col min="4878" max="5120" width="9.109375" style="60"/>
    <col min="5121" max="5121" width="11.6640625" style="60" customWidth="1"/>
    <col min="5122" max="5122" width="10.44140625" style="60" customWidth="1"/>
    <col min="5123" max="5123" width="65.109375" style="60" customWidth="1"/>
    <col min="5124" max="5124" width="14.33203125" style="60" customWidth="1"/>
    <col min="5125" max="5125" width="13.5546875" style="60" customWidth="1"/>
    <col min="5126" max="5127" width="12.6640625" style="60" customWidth="1"/>
    <col min="5128" max="5128" width="13.88671875" style="60" customWidth="1"/>
    <col min="5129" max="5129" width="12.88671875" style="60" customWidth="1"/>
    <col min="5130" max="5131" width="12.6640625" style="60" customWidth="1"/>
    <col min="5132" max="5132" width="5.33203125" style="60" customWidth="1"/>
    <col min="5133" max="5133" width="14.6640625" style="60" bestFit="1" customWidth="1"/>
    <col min="5134" max="5376" width="9.109375" style="60"/>
    <col min="5377" max="5377" width="11.6640625" style="60" customWidth="1"/>
    <col min="5378" max="5378" width="10.44140625" style="60" customWidth="1"/>
    <col min="5379" max="5379" width="65.109375" style="60" customWidth="1"/>
    <col min="5380" max="5380" width="14.33203125" style="60" customWidth="1"/>
    <col min="5381" max="5381" width="13.5546875" style="60" customWidth="1"/>
    <col min="5382" max="5383" width="12.6640625" style="60" customWidth="1"/>
    <col min="5384" max="5384" width="13.88671875" style="60" customWidth="1"/>
    <col min="5385" max="5385" width="12.88671875" style="60" customWidth="1"/>
    <col min="5386" max="5387" width="12.6640625" style="60" customWidth="1"/>
    <col min="5388" max="5388" width="5.33203125" style="60" customWidth="1"/>
    <col min="5389" max="5389" width="14.6640625" style="60" bestFit="1" customWidth="1"/>
    <col min="5390" max="5632" width="9.109375" style="60"/>
    <col min="5633" max="5633" width="11.6640625" style="60" customWidth="1"/>
    <col min="5634" max="5634" width="10.44140625" style="60" customWidth="1"/>
    <col min="5635" max="5635" width="65.109375" style="60" customWidth="1"/>
    <col min="5636" max="5636" width="14.33203125" style="60" customWidth="1"/>
    <col min="5637" max="5637" width="13.5546875" style="60" customWidth="1"/>
    <col min="5638" max="5639" width="12.6640625" style="60" customWidth="1"/>
    <col min="5640" max="5640" width="13.88671875" style="60" customWidth="1"/>
    <col min="5641" max="5641" width="12.88671875" style="60" customWidth="1"/>
    <col min="5642" max="5643" width="12.6640625" style="60" customWidth="1"/>
    <col min="5644" max="5644" width="5.33203125" style="60" customWidth="1"/>
    <col min="5645" max="5645" width="14.6640625" style="60" bestFit="1" customWidth="1"/>
    <col min="5646" max="5888" width="9.109375" style="60"/>
    <col min="5889" max="5889" width="11.6640625" style="60" customWidth="1"/>
    <col min="5890" max="5890" width="10.44140625" style="60" customWidth="1"/>
    <col min="5891" max="5891" width="65.109375" style="60" customWidth="1"/>
    <col min="5892" max="5892" width="14.33203125" style="60" customWidth="1"/>
    <col min="5893" max="5893" width="13.5546875" style="60" customWidth="1"/>
    <col min="5894" max="5895" width="12.6640625" style="60" customWidth="1"/>
    <col min="5896" max="5896" width="13.88671875" style="60" customWidth="1"/>
    <col min="5897" max="5897" width="12.88671875" style="60" customWidth="1"/>
    <col min="5898" max="5899" width="12.6640625" style="60" customWidth="1"/>
    <col min="5900" max="5900" width="5.33203125" style="60" customWidth="1"/>
    <col min="5901" max="5901" width="14.6640625" style="60" bestFit="1" customWidth="1"/>
    <col min="5902" max="6144" width="9.109375" style="60"/>
    <col min="6145" max="6145" width="11.6640625" style="60" customWidth="1"/>
    <col min="6146" max="6146" width="10.44140625" style="60" customWidth="1"/>
    <col min="6147" max="6147" width="65.109375" style="60" customWidth="1"/>
    <col min="6148" max="6148" width="14.33203125" style="60" customWidth="1"/>
    <col min="6149" max="6149" width="13.5546875" style="60" customWidth="1"/>
    <col min="6150" max="6151" width="12.6640625" style="60" customWidth="1"/>
    <col min="6152" max="6152" width="13.88671875" style="60" customWidth="1"/>
    <col min="6153" max="6153" width="12.88671875" style="60" customWidth="1"/>
    <col min="6154" max="6155" width="12.6640625" style="60" customWidth="1"/>
    <col min="6156" max="6156" width="5.33203125" style="60" customWidth="1"/>
    <col min="6157" max="6157" width="14.6640625" style="60" bestFit="1" customWidth="1"/>
    <col min="6158" max="6400" width="9.109375" style="60"/>
    <col min="6401" max="6401" width="11.6640625" style="60" customWidth="1"/>
    <col min="6402" max="6402" width="10.44140625" style="60" customWidth="1"/>
    <col min="6403" max="6403" width="65.109375" style="60" customWidth="1"/>
    <col min="6404" max="6404" width="14.33203125" style="60" customWidth="1"/>
    <col min="6405" max="6405" width="13.5546875" style="60" customWidth="1"/>
    <col min="6406" max="6407" width="12.6640625" style="60" customWidth="1"/>
    <col min="6408" max="6408" width="13.88671875" style="60" customWidth="1"/>
    <col min="6409" max="6409" width="12.88671875" style="60" customWidth="1"/>
    <col min="6410" max="6411" width="12.6640625" style="60" customWidth="1"/>
    <col min="6412" max="6412" width="5.33203125" style="60" customWidth="1"/>
    <col min="6413" max="6413" width="14.6640625" style="60" bestFit="1" customWidth="1"/>
    <col min="6414" max="6656" width="9.109375" style="60"/>
    <col min="6657" max="6657" width="11.6640625" style="60" customWidth="1"/>
    <col min="6658" max="6658" width="10.44140625" style="60" customWidth="1"/>
    <col min="6659" max="6659" width="65.109375" style="60" customWidth="1"/>
    <col min="6660" max="6660" width="14.33203125" style="60" customWidth="1"/>
    <col min="6661" max="6661" width="13.5546875" style="60" customWidth="1"/>
    <col min="6662" max="6663" width="12.6640625" style="60" customWidth="1"/>
    <col min="6664" max="6664" width="13.88671875" style="60" customWidth="1"/>
    <col min="6665" max="6665" width="12.88671875" style="60" customWidth="1"/>
    <col min="6666" max="6667" width="12.6640625" style="60" customWidth="1"/>
    <col min="6668" max="6668" width="5.33203125" style="60" customWidth="1"/>
    <col min="6669" max="6669" width="14.6640625" style="60" bestFit="1" customWidth="1"/>
    <col min="6670" max="6912" width="9.109375" style="60"/>
    <col min="6913" max="6913" width="11.6640625" style="60" customWidth="1"/>
    <col min="6914" max="6914" width="10.44140625" style="60" customWidth="1"/>
    <col min="6915" max="6915" width="65.109375" style="60" customWidth="1"/>
    <col min="6916" max="6916" width="14.33203125" style="60" customWidth="1"/>
    <col min="6917" max="6917" width="13.5546875" style="60" customWidth="1"/>
    <col min="6918" max="6919" width="12.6640625" style="60" customWidth="1"/>
    <col min="6920" max="6920" width="13.88671875" style="60" customWidth="1"/>
    <col min="6921" max="6921" width="12.88671875" style="60" customWidth="1"/>
    <col min="6922" max="6923" width="12.6640625" style="60" customWidth="1"/>
    <col min="6924" max="6924" width="5.33203125" style="60" customWidth="1"/>
    <col min="6925" max="6925" width="14.6640625" style="60" bestFit="1" customWidth="1"/>
    <col min="6926" max="7168" width="9.109375" style="60"/>
    <col min="7169" max="7169" width="11.6640625" style="60" customWidth="1"/>
    <col min="7170" max="7170" width="10.44140625" style="60" customWidth="1"/>
    <col min="7171" max="7171" width="65.109375" style="60" customWidth="1"/>
    <col min="7172" max="7172" width="14.33203125" style="60" customWidth="1"/>
    <col min="7173" max="7173" width="13.5546875" style="60" customWidth="1"/>
    <col min="7174" max="7175" width="12.6640625" style="60" customWidth="1"/>
    <col min="7176" max="7176" width="13.88671875" style="60" customWidth="1"/>
    <col min="7177" max="7177" width="12.88671875" style="60" customWidth="1"/>
    <col min="7178" max="7179" width="12.6640625" style="60" customWidth="1"/>
    <col min="7180" max="7180" width="5.33203125" style="60" customWidth="1"/>
    <col min="7181" max="7181" width="14.6640625" style="60" bestFit="1" customWidth="1"/>
    <col min="7182" max="7424" width="9.109375" style="60"/>
    <col min="7425" max="7425" width="11.6640625" style="60" customWidth="1"/>
    <col min="7426" max="7426" width="10.44140625" style="60" customWidth="1"/>
    <col min="7427" max="7427" width="65.109375" style="60" customWidth="1"/>
    <col min="7428" max="7428" width="14.33203125" style="60" customWidth="1"/>
    <col min="7429" max="7429" width="13.5546875" style="60" customWidth="1"/>
    <col min="7430" max="7431" width="12.6640625" style="60" customWidth="1"/>
    <col min="7432" max="7432" width="13.88671875" style="60" customWidth="1"/>
    <col min="7433" max="7433" width="12.88671875" style="60" customWidth="1"/>
    <col min="7434" max="7435" width="12.6640625" style="60" customWidth="1"/>
    <col min="7436" max="7436" width="5.33203125" style="60" customWidth="1"/>
    <col min="7437" max="7437" width="14.6640625" style="60" bestFit="1" customWidth="1"/>
    <col min="7438" max="7680" width="9.109375" style="60"/>
    <col min="7681" max="7681" width="11.6640625" style="60" customWidth="1"/>
    <col min="7682" max="7682" width="10.44140625" style="60" customWidth="1"/>
    <col min="7683" max="7683" width="65.109375" style="60" customWidth="1"/>
    <col min="7684" max="7684" width="14.33203125" style="60" customWidth="1"/>
    <col min="7685" max="7685" width="13.5546875" style="60" customWidth="1"/>
    <col min="7686" max="7687" width="12.6640625" style="60" customWidth="1"/>
    <col min="7688" max="7688" width="13.88671875" style="60" customWidth="1"/>
    <col min="7689" max="7689" width="12.88671875" style="60" customWidth="1"/>
    <col min="7690" max="7691" width="12.6640625" style="60" customWidth="1"/>
    <col min="7692" max="7692" width="5.33203125" style="60" customWidth="1"/>
    <col min="7693" max="7693" width="14.6640625" style="60" bestFit="1" customWidth="1"/>
    <col min="7694" max="7936" width="9.109375" style="60"/>
    <col min="7937" max="7937" width="11.6640625" style="60" customWidth="1"/>
    <col min="7938" max="7938" width="10.44140625" style="60" customWidth="1"/>
    <col min="7939" max="7939" width="65.109375" style="60" customWidth="1"/>
    <col min="7940" max="7940" width="14.33203125" style="60" customWidth="1"/>
    <col min="7941" max="7941" width="13.5546875" style="60" customWidth="1"/>
    <col min="7942" max="7943" width="12.6640625" style="60" customWidth="1"/>
    <col min="7944" max="7944" width="13.88671875" style="60" customWidth="1"/>
    <col min="7945" max="7945" width="12.88671875" style="60" customWidth="1"/>
    <col min="7946" max="7947" width="12.6640625" style="60" customWidth="1"/>
    <col min="7948" max="7948" width="5.33203125" style="60" customWidth="1"/>
    <col min="7949" max="7949" width="14.6640625" style="60" bestFit="1" customWidth="1"/>
    <col min="7950" max="8192" width="9.109375" style="60"/>
    <col min="8193" max="8193" width="11.6640625" style="60" customWidth="1"/>
    <col min="8194" max="8194" width="10.44140625" style="60" customWidth="1"/>
    <col min="8195" max="8195" width="65.109375" style="60" customWidth="1"/>
    <col min="8196" max="8196" width="14.33203125" style="60" customWidth="1"/>
    <col min="8197" max="8197" width="13.5546875" style="60" customWidth="1"/>
    <col min="8198" max="8199" width="12.6640625" style="60" customWidth="1"/>
    <col min="8200" max="8200" width="13.88671875" style="60" customWidth="1"/>
    <col min="8201" max="8201" width="12.88671875" style="60" customWidth="1"/>
    <col min="8202" max="8203" width="12.6640625" style="60" customWidth="1"/>
    <col min="8204" max="8204" width="5.33203125" style="60" customWidth="1"/>
    <col min="8205" max="8205" width="14.6640625" style="60" bestFit="1" customWidth="1"/>
    <col min="8206" max="8448" width="9.109375" style="60"/>
    <col min="8449" max="8449" width="11.6640625" style="60" customWidth="1"/>
    <col min="8450" max="8450" width="10.44140625" style="60" customWidth="1"/>
    <col min="8451" max="8451" width="65.109375" style="60" customWidth="1"/>
    <col min="8452" max="8452" width="14.33203125" style="60" customWidth="1"/>
    <col min="8453" max="8453" width="13.5546875" style="60" customWidth="1"/>
    <col min="8454" max="8455" width="12.6640625" style="60" customWidth="1"/>
    <col min="8456" max="8456" width="13.88671875" style="60" customWidth="1"/>
    <col min="8457" max="8457" width="12.88671875" style="60" customWidth="1"/>
    <col min="8458" max="8459" width="12.6640625" style="60" customWidth="1"/>
    <col min="8460" max="8460" width="5.33203125" style="60" customWidth="1"/>
    <col min="8461" max="8461" width="14.6640625" style="60" bestFit="1" customWidth="1"/>
    <col min="8462" max="8704" width="9.109375" style="60"/>
    <col min="8705" max="8705" width="11.6640625" style="60" customWidth="1"/>
    <col min="8706" max="8706" width="10.44140625" style="60" customWidth="1"/>
    <col min="8707" max="8707" width="65.109375" style="60" customWidth="1"/>
    <col min="8708" max="8708" width="14.33203125" style="60" customWidth="1"/>
    <col min="8709" max="8709" width="13.5546875" style="60" customWidth="1"/>
    <col min="8710" max="8711" width="12.6640625" style="60" customWidth="1"/>
    <col min="8712" max="8712" width="13.88671875" style="60" customWidth="1"/>
    <col min="8713" max="8713" width="12.88671875" style="60" customWidth="1"/>
    <col min="8714" max="8715" width="12.6640625" style="60" customWidth="1"/>
    <col min="8716" max="8716" width="5.33203125" style="60" customWidth="1"/>
    <col min="8717" max="8717" width="14.6640625" style="60" bestFit="1" customWidth="1"/>
    <col min="8718" max="8960" width="9.109375" style="60"/>
    <col min="8961" max="8961" width="11.6640625" style="60" customWidth="1"/>
    <col min="8962" max="8962" width="10.44140625" style="60" customWidth="1"/>
    <col min="8963" max="8963" width="65.109375" style="60" customWidth="1"/>
    <col min="8964" max="8964" width="14.33203125" style="60" customWidth="1"/>
    <col min="8965" max="8965" width="13.5546875" style="60" customWidth="1"/>
    <col min="8966" max="8967" width="12.6640625" style="60" customWidth="1"/>
    <col min="8968" max="8968" width="13.88671875" style="60" customWidth="1"/>
    <col min="8969" max="8969" width="12.88671875" style="60" customWidth="1"/>
    <col min="8970" max="8971" width="12.6640625" style="60" customWidth="1"/>
    <col min="8972" max="8972" width="5.33203125" style="60" customWidth="1"/>
    <col min="8973" max="8973" width="14.6640625" style="60" bestFit="1" customWidth="1"/>
    <col min="8974" max="9216" width="9.109375" style="60"/>
    <col min="9217" max="9217" width="11.6640625" style="60" customWidth="1"/>
    <col min="9218" max="9218" width="10.44140625" style="60" customWidth="1"/>
    <col min="9219" max="9219" width="65.109375" style="60" customWidth="1"/>
    <col min="9220" max="9220" width="14.33203125" style="60" customWidth="1"/>
    <col min="9221" max="9221" width="13.5546875" style="60" customWidth="1"/>
    <col min="9222" max="9223" width="12.6640625" style="60" customWidth="1"/>
    <col min="9224" max="9224" width="13.88671875" style="60" customWidth="1"/>
    <col min="9225" max="9225" width="12.88671875" style="60" customWidth="1"/>
    <col min="9226" max="9227" width="12.6640625" style="60" customWidth="1"/>
    <col min="9228" max="9228" width="5.33203125" style="60" customWidth="1"/>
    <col min="9229" max="9229" width="14.6640625" style="60" bestFit="1" customWidth="1"/>
    <col min="9230" max="9472" width="9.109375" style="60"/>
    <col min="9473" max="9473" width="11.6640625" style="60" customWidth="1"/>
    <col min="9474" max="9474" width="10.44140625" style="60" customWidth="1"/>
    <col min="9475" max="9475" width="65.109375" style="60" customWidth="1"/>
    <col min="9476" max="9476" width="14.33203125" style="60" customWidth="1"/>
    <col min="9477" max="9477" width="13.5546875" style="60" customWidth="1"/>
    <col min="9478" max="9479" width="12.6640625" style="60" customWidth="1"/>
    <col min="9480" max="9480" width="13.88671875" style="60" customWidth="1"/>
    <col min="9481" max="9481" width="12.88671875" style="60" customWidth="1"/>
    <col min="9482" max="9483" width="12.6640625" style="60" customWidth="1"/>
    <col min="9484" max="9484" width="5.33203125" style="60" customWidth="1"/>
    <col min="9485" max="9485" width="14.6640625" style="60" bestFit="1" customWidth="1"/>
    <col min="9486" max="9728" width="9.109375" style="60"/>
    <col min="9729" max="9729" width="11.6640625" style="60" customWidth="1"/>
    <col min="9730" max="9730" width="10.44140625" style="60" customWidth="1"/>
    <col min="9731" max="9731" width="65.109375" style="60" customWidth="1"/>
    <col min="9732" max="9732" width="14.33203125" style="60" customWidth="1"/>
    <col min="9733" max="9733" width="13.5546875" style="60" customWidth="1"/>
    <col min="9734" max="9735" width="12.6640625" style="60" customWidth="1"/>
    <col min="9736" max="9736" width="13.88671875" style="60" customWidth="1"/>
    <col min="9737" max="9737" width="12.88671875" style="60" customWidth="1"/>
    <col min="9738" max="9739" width="12.6640625" style="60" customWidth="1"/>
    <col min="9740" max="9740" width="5.33203125" style="60" customWidth="1"/>
    <col min="9741" max="9741" width="14.6640625" style="60" bestFit="1" customWidth="1"/>
    <col min="9742" max="9984" width="9.109375" style="60"/>
    <col min="9985" max="9985" width="11.6640625" style="60" customWidth="1"/>
    <col min="9986" max="9986" width="10.44140625" style="60" customWidth="1"/>
    <col min="9987" max="9987" width="65.109375" style="60" customWidth="1"/>
    <col min="9988" max="9988" width="14.33203125" style="60" customWidth="1"/>
    <col min="9989" max="9989" width="13.5546875" style="60" customWidth="1"/>
    <col min="9990" max="9991" width="12.6640625" style="60" customWidth="1"/>
    <col min="9992" max="9992" width="13.88671875" style="60" customWidth="1"/>
    <col min="9993" max="9993" width="12.88671875" style="60" customWidth="1"/>
    <col min="9994" max="9995" width="12.6640625" style="60" customWidth="1"/>
    <col min="9996" max="9996" width="5.33203125" style="60" customWidth="1"/>
    <col min="9997" max="9997" width="14.6640625" style="60" bestFit="1" customWidth="1"/>
    <col min="9998" max="10240" width="9.109375" style="60"/>
    <col min="10241" max="10241" width="11.6640625" style="60" customWidth="1"/>
    <col min="10242" max="10242" width="10.44140625" style="60" customWidth="1"/>
    <col min="10243" max="10243" width="65.109375" style="60" customWidth="1"/>
    <col min="10244" max="10244" width="14.33203125" style="60" customWidth="1"/>
    <col min="10245" max="10245" width="13.5546875" style="60" customWidth="1"/>
    <col min="10246" max="10247" width="12.6640625" style="60" customWidth="1"/>
    <col min="10248" max="10248" width="13.88671875" style="60" customWidth="1"/>
    <col min="10249" max="10249" width="12.88671875" style="60" customWidth="1"/>
    <col min="10250" max="10251" width="12.6640625" style="60" customWidth="1"/>
    <col min="10252" max="10252" width="5.33203125" style="60" customWidth="1"/>
    <col min="10253" max="10253" width="14.6640625" style="60" bestFit="1" customWidth="1"/>
    <col min="10254" max="10496" width="9.109375" style="60"/>
    <col min="10497" max="10497" width="11.6640625" style="60" customWidth="1"/>
    <col min="10498" max="10498" width="10.44140625" style="60" customWidth="1"/>
    <col min="10499" max="10499" width="65.109375" style="60" customWidth="1"/>
    <col min="10500" max="10500" width="14.33203125" style="60" customWidth="1"/>
    <col min="10501" max="10501" width="13.5546875" style="60" customWidth="1"/>
    <col min="10502" max="10503" width="12.6640625" style="60" customWidth="1"/>
    <col min="10504" max="10504" width="13.88671875" style="60" customWidth="1"/>
    <col min="10505" max="10505" width="12.88671875" style="60" customWidth="1"/>
    <col min="10506" max="10507" width="12.6640625" style="60" customWidth="1"/>
    <col min="10508" max="10508" width="5.33203125" style="60" customWidth="1"/>
    <col min="10509" max="10509" width="14.6640625" style="60" bestFit="1" customWidth="1"/>
    <col min="10510" max="10752" width="9.109375" style="60"/>
    <col min="10753" max="10753" width="11.6640625" style="60" customWidth="1"/>
    <col min="10754" max="10754" width="10.44140625" style="60" customWidth="1"/>
    <col min="10755" max="10755" width="65.109375" style="60" customWidth="1"/>
    <col min="10756" max="10756" width="14.33203125" style="60" customWidth="1"/>
    <col min="10757" max="10757" width="13.5546875" style="60" customWidth="1"/>
    <col min="10758" max="10759" width="12.6640625" style="60" customWidth="1"/>
    <col min="10760" max="10760" width="13.88671875" style="60" customWidth="1"/>
    <col min="10761" max="10761" width="12.88671875" style="60" customWidth="1"/>
    <col min="10762" max="10763" width="12.6640625" style="60" customWidth="1"/>
    <col min="10764" max="10764" width="5.33203125" style="60" customWidth="1"/>
    <col min="10765" max="10765" width="14.6640625" style="60" bestFit="1" customWidth="1"/>
    <col min="10766" max="11008" width="9.109375" style="60"/>
    <col min="11009" max="11009" width="11.6640625" style="60" customWidth="1"/>
    <col min="11010" max="11010" width="10.44140625" style="60" customWidth="1"/>
    <col min="11011" max="11011" width="65.109375" style="60" customWidth="1"/>
    <col min="11012" max="11012" width="14.33203125" style="60" customWidth="1"/>
    <col min="11013" max="11013" width="13.5546875" style="60" customWidth="1"/>
    <col min="11014" max="11015" width="12.6640625" style="60" customWidth="1"/>
    <col min="11016" max="11016" width="13.88671875" style="60" customWidth="1"/>
    <col min="11017" max="11017" width="12.88671875" style="60" customWidth="1"/>
    <col min="11018" max="11019" width="12.6640625" style="60" customWidth="1"/>
    <col min="11020" max="11020" width="5.33203125" style="60" customWidth="1"/>
    <col min="11021" max="11021" width="14.6640625" style="60" bestFit="1" customWidth="1"/>
    <col min="11022" max="11264" width="9.109375" style="60"/>
    <col min="11265" max="11265" width="11.6640625" style="60" customWidth="1"/>
    <col min="11266" max="11266" width="10.44140625" style="60" customWidth="1"/>
    <col min="11267" max="11267" width="65.109375" style="60" customWidth="1"/>
    <col min="11268" max="11268" width="14.33203125" style="60" customWidth="1"/>
    <col min="11269" max="11269" width="13.5546875" style="60" customWidth="1"/>
    <col min="11270" max="11271" width="12.6640625" style="60" customWidth="1"/>
    <col min="11272" max="11272" width="13.88671875" style="60" customWidth="1"/>
    <col min="11273" max="11273" width="12.88671875" style="60" customWidth="1"/>
    <col min="11274" max="11275" width="12.6640625" style="60" customWidth="1"/>
    <col min="11276" max="11276" width="5.33203125" style="60" customWidth="1"/>
    <col min="11277" max="11277" width="14.6640625" style="60" bestFit="1" customWidth="1"/>
    <col min="11278" max="11520" width="9.109375" style="60"/>
    <col min="11521" max="11521" width="11.6640625" style="60" customWidth="1"/>
    <col min="11522" max="11522" width="10.44140625" style="60" customWidth="1"/>
    <col min="11523" max="11523" width="65.109375" style="60" customWidth="1"/>
    <col min="11524" max="11524" width="14.33203125" style="60" customWidth="1"/>
    <col min="11525" max="11525" width="13.5546875" style="60" customWidth="1"/>
    <col min="11526" max="11527" width="12.6640625" style="60" customWidth="1"/>
    <col min="11528" max="11528" width="13.88671875" style="60" customWidth="1"/>
    <col min="11529" max="11529" width="12.88671875" style="60" customWidth="1"/>
    <col min="11530" max="11531" width="12.6640625" style="60" customWidth="1"/>
    <col min="11532" max="11532" width="5.33203125" style="60" customWidth="1"/>
    <col min="11533" max="11533" width="14.6640625" style="60" bestFit="1" customWidth="1"/>
    <col min="11534" max="11776" width="9.109375" style="60"/>
    <col min="11777" max="11777" width="11.6640625" style="60" customWidth="1"/>
    <col min="11778" max="11778" width="10.44140625" style="60" customWidth="1"/>
    <col min="11779" max="11779" width="65.109375" style="60" customWidth="1"/>
    <col min="11780" max="11780" width="14.33203125" style="60" customWidth="1"/>
    <col min="11781" max="11781" width="13.5546875" style="60" customWidth="1"/>
    <col min="11782" max="11783" width="12.6640625" style="60" customWidth="1"/>
    <col min="11784" max="11784" width="13.88671875" style="60" customWidth="1"/>
    <col min="11785" max="11785" width="12.88671875" style="60" customWidth="1"/>
    <col min="11786" max="11787" width="12.6640625" style="60" customWidth="1"/>
    <col min="11788" max="11788" width="5.33203125" style="60" customWidth="1"/>
    <col min="11789" max="11789" width="14.6640625" style="60" bestFit="1" customWidth="1"/>
    <col min="11790" max="12032" width="9.109375" style="60"/>
    <col min="12033" max="12033" width="11.6640625" style="60" customWidth="1"/>
    <col min="12034" max="12034" width="10.44140625" style="60" customWidth="1"/>
    <col min="12035" max="12035" width="65.109375" style="60" customWidth="1"/>
    <col min="12036" max="12036" width="14.33203125" style="60" customWidth="1"/>
    <col min="12037" max="12037" width="13.5546875" style="60" customWidth="1"/>
    <col min="12038" max="12039" width="12.6640625" style="60" customWidth="1"/>
    <col min="12040" max="12040" width="13.88671875" style="60" customWidth="1"/>
    <col min="12041" max="12041" width="12.88671875" style="60" customWidth="1"/>
    <col min="12042" max="12043" width="12.6640625" style="60" customWidth="1"/>
    <col min="12044" max="12044" width="5.33203125" style="60" customWidth="1"/>
    <col min="12045" max="12045" width="14.6640625" style="60" bestFit="1" customWidth="1"/>
    <col min="12046" max="12288" width="9.109375" style="60"/>
    <col min="12289" max="12289" width="11.6640625" style="60" customWidth="1"/>
    <col min="12290" max="12290" width="10.44140625" style="60" customWidth="1"/>
    <col min="12291" max="12291" width="65.109375" style="60" customWidth="1"/>
    <col min="12292" max="12292" width="14.33203125" style="60" customWidth="1"/>
    <col min="12293" max="12293" width="13.5546875" style="60" customWidth="1"/>
    <col min="12294" max="12295" width="12.6640625" style="60" customWidth="1"/>
    <col min="12296" max="12296" width="13.88671875" style="60" customWidth="1"/>
    <col min="12297" max="12297" width="12.88671875" style="60" customWidth="1"/>
    <col min="12298" max="12299" width="12.6640625" style="60" customWidth="1"/>
    <col min="12300" max="12300" width="5.33203125" style="60" customWidth="1"/>
    <col min="12301" max="12301" width="14.6640625" style="60" bestFit="1" customWidth="1"/>
    <col min="12302" max="12544" width="9.109375" style="60"/>
    <col min="12545" max="12545" width="11.6640625" style="60" customWidth="1"/>
    <col min="12546" max="12546" width="10.44140625" style="60" customWidth="1"/>
    <col min="12547" max="12547" width="65.109375" style="60" customWidth="1"/>
    <col min="12548" max="12548" width="14.33203125" style="60" customWidth="1"/>
    <col min="12549" max="12549" width="13.5546875" style="60" customWidth="1"/>
    <col min="12550" max="12551" width="12.6640625" style="60" customWidth="1"/>
    <col min="12552" max="12552" width="13.88671875" style="60" customWidth="1"/>
    <col min="12553" max="12553" width="12.88671875" style="60" customWidth="1"/>
    <col min="12554" max="12555" width="12.6640625" style="60" customWidth="1"/>
    <col min="12556" max="12556" width="5.33203125" style="60" customWidth="1"/>
    <col min="12557" max="12557" width="14.6640625" style="60" bestFit="1" customWidth="1"/>
    <col min="12558" max="12800" width="9.109375" style="60"/>
    <col min="12801" max="12801" width="11.6640625" style="60" customWidth="1"/>
    <col min="12802" max="12802" width="10.44140625" style="60" customWidth="1"/>
    <col min="12803" max="12803" width="65.109375" style="60" customWidth="1"/>
    <col min="12804" max="12804" width="14.33203125" style="60" customWidth="1"/>
    <col min="12805" max="12805" width="13.5546875" style="60" customWidth="1"/>
    <col min="12806" max="12807" width="12.6640625" style="60" customWidth="1"/>
    <col min="12808" max="12808" width="13.88671875" style="60" customWidth="1"/>
    <col min="12809" max="12809" width="12.88671875" style="60" customWidth="1"/>
    <col min="12810" max="12811" width="12.6640625" style="60" customWidth="1"/>
    <col min="12812" max="12812" width="5.33203125" style="60" customWidth="1"/>
    <col min="12813" max="12813" width="14.6640625" style="60" bestFit="1" customWidth="1"/>
    <col min="12814" max="13056" width="9.109375" style="60"/>
    <col min="13057" max="13057" width="11.6640625" style="60" customWidth="1"/>
    <col min="13058" max="13058" width="10.44140625" style="60" customWidth="1"/>
    <col min="13059" max="13059" width="65.109375" style="60" customWidth="1"/>
    <col min="13060" max="13060" width="14.33203125" style="60" customWidth="1"/>
    <col min="13061" max="13061" width="13.5546875" style="60" customWidth="1"/>
    <col min="13062" max="13063" width="12.6640625" style="60" customWidth="1"/>
    <col min="13064" max="13064" width="13.88671875" style="60" customWidth="1"/>
    <col min="13065" max="13065" width="12.88671875" style="60" customWidth="1"/>
    <col min="13066" max="13067" width="12.6640625" style="60" customWidth="1"/>
    <col min="13068" max="13068" width="5.33203125" style="60" customWidth="1"/>
    <col min="13069" max="13069" width="14.6640625" style="60" bestFit="1" customWidth="1"/>
    <col min="13070" max="13312" width="9.109375" style="60"/>
    <col min="13313" max="13313" width="11.6640625" style="60" customWidth="1"/>
    <col min="13314" max="13314" width="10.44140625" style="60" customWidth="1"/>
    <col min="13315" max="13315" width="65.109375" style="60" customWidth="1"/>
    <col min="13316" max="13316" width="14.33203125" style="60" customWidth="1"/>
    <col min="13317" max="13317" width="13.5546875" style="60" customWidth="1"/>
    <col min="13318" max="13319" width="12.6640625" style="60" customWidth="1"/>
    <col min="13320" max="13320" width="13.88671875" style="60" customWidth="1"/>
    <col min="13321" max="13321" width="12.88671875" style="60" customWidth="1"/>
    <col min="13322" max="13323" width="12.6640625" style="60" customWidth="1"/>
    <col min="13324" max="13324" width="5.33203125" style="60" customWidth="1"/>
    <col min="13325" max="13325" width="14.6640625" style="60" bestFit="1" customWidth="1"/>
    <col min="13326" max="13568" width="9.109375" style="60"/>
    <col min="13569" max="13569" width="11.6640625" style="60" customWidth="1"/>
    <col min="13570" max="13570" width="10.44140625" style="60" customWidth="1"/>
    <col min="13571" max="13571" width="65.109375" style="60" customWidth="1"/>
    <col min="13572" max="13572" width="14.33203125" style="60" customWidth="1"/>
    <col min="13573" max="13573" width="13.5546875" style="60" customWidth="1"/>
    <col min="13574" max="13575" width="12.6640625" style="60" customWidth="1"/>
    <col min="13576" max="13576" width="13.88671875" style="60" customWidth="1"/>
    <col min="13577" max="13577" width="12.88671875" style="60" customWidth="1"/>
    <col min="13578" max="13579" width="12.6640625" style="60" customWidth="1"/>
    <col min="13580" max="13580" width="5.33203125" style="60" customWidth="1"/>
    <col min="13581" max="13581" width="14.6640625" style="60" bestFit="1" customWidth="1"/>
    <col min="13582" max="13824" width="9.109375" style="60"/>
    <col min="13825" max="13825" width="11.6640625" style="60" customWidth="1"/>
    <col min="13826" max="13826" width="10.44140625" style="60" customWidth="1"/>
    <col min="13827" max="13827" width="65.109375" style="60" customWidth="1"/>
    <col min="13828" max="13828" width="14.33203125" style="60" customWidth="1"/>
    <col min="13829" max="13829" width="13.5546875" style="60" customWidth="1"/>
    <col min="13830" max="13831" width="12.6640625" style="60" customWidth="1"/>
    <col min="13832" max="13832" width="13.88671875" style="60" customWidth="1"/>
    <col min="13833" max="13833" width="12.88671875" style="60" customWidth="1"/>
    <col min="13834" max="13835" width="12.6640625" style="60" customWidth="1"/>
    <col min="13836" max="13836" width="5.33203125" style="60" customWidth="1"/>
    <col min="13837" max="13837" width="14.6640625" style="60" bestFit="1" customWidth="1"/>
    <col min="13838" max="14080" width="9.109375" style="60"/>
    <col min="14081" max="14081" width="11.6640625" style="60" customWidth="1"/>
    <col min="14082" max="14082" width="10.44140625" style="60" customWidth="1"/>
    <col min="14083" max="14083" width="65.109375" style="60" customWidth="1"/>
    <col min="14084" max="14084" width="14.33203125" style="60" customWidth="1"/>
    <col min="14085" max="14085" width="13.5546875" style="60" customWidth="1"/>
    <col min="14086" max="14087" width="12.6640625" style="60" customWidth="1"/>
    <col min="14088" max="14088" width="13.88671875" style="60" customWidth="1"/>
    <col min="14089" max="14089" width="12.88671875" style="60" customWidth="1"/>
    <col min="14090" max="14091" width="12.6640625" style="60" customWidth="1"/>
    <col min="14092" max="14092" width="5.33203125" style="60" customWidth="1"/>
    <col min="14093" max="14093" width="14.6640625" style="60" bestFit="1" customWidth="1"/>
    <col min="14094" max="14336" width="9.109375" style="60"/>
    <col min="14337" max="14337" width="11.6640625" style="60" customWidth="1"/>
    <col min="14338" max="14338" width="10.44140625" style="60" customWidth="1"/>
    <col min="14339" max="14339" width="65.109375" style="60" customWidth="1"/>
    <col min="14340" max="14340" width="14.33203125" style="60" customWidth="1"/>
    <col min="14341" max="14341" width="13.5546875" style="60" customWidth="1"/>
    <col min="14342" max="14343" width="12.6640625" style="60" customWidth="1"/>
    <col min="14344" max="14344" width="13.88671875" style="60" customWidth="1"/>
    <col min="14345" max="14345" width="12.88671875" style="60" customWidth="1"/>
    <col min="14346" max="14347" width="12.6640625" style="60" customWidth="1"/>
    <col min="14348" max="14348" width="5.33203125" style="60" customWidth="1"/>
    <col min="14349" max="14349" width="14.6640625" style="60" bestFit="1" customWidth="1"/>
    <col min="14350" max="14592" width="9.109375" style="60"/>
    <col min="14593" max="14593" width="11.6640625" style="60" customWidth="1"/>
    <col min="14594" max="14594" width="10.44140625" style="60" customWidth="1"/>
    <col min="14595" max="14595" width="65.109375" style="60" customWidth="1"/>
    <col min="14596" max="14596" width="14.33203125" style="60" customWidth="1"/>
    <col min="14597" max="14597" width="13.5546875" style="60" customWidth="1"/>
    <col min="14598" max="14599" width="12.6640625" style="60" customWidth="1"/>
    <col min="14600" max="14600" width="13.88671875" style="60" customWidth="1"/>
    <col min="14601" max="14601" width="12.88671875" style="60" customWidth="1"/>
    <col min="14602" max="14603" width="12.6640625" style="60" customWidth="1"/>
    <col min="14604" max="14604" width="5.33203125" style="60" customWidth="1"/>
    <col min="14605" max="14605" width="14.6640625" style="60" bestFit="1" customWidth="1"/>
    <col min="14606" max="14848" width="9.109375" style="60"/>
    <col min="14849" max="14849" width="11.6640625" style="60" customWidth="1"/>
    <col min="14850" max="14850" width="10.44140625" style="60" customWidth="1"/>
    <col min="14851" max="14851" width="65.109375" style="60" customWidth="1"/>
    <col min="14852" max="14852" width="14.33203125" style="60" customWidth="1"/>
    <col min="14853" max="14853" width="13.5546875" style="60" customWidth="1"/>
    <col min="14854" max="14855" width="12.6640625" style="60" customWidth="1"/>
    <col min="14856" max="14856" width="13.88671875" style="60" customWidth="1"/>
    <col min="14857" max="14857" width="12.88671875" style="60" customWidth="1"/>
    <col min="14858" max="14859" width="12.6640625" style="60" customWidth="1"/>
    <col min="14860" max="14860" width="5.33203125" style="60" customWidth="1"/>
    <col min="14861" max="14861" width="14.6640625" style="60" bestFit="1" customWidth="1"/>
    <col min="14862" max="15104" width="9.109375" style="60"/>
    <col min="15105" max="15105" width="11.6640625" style="60" customWidth="1"/>
    <col min="15106" max="15106" width="10.44140625" style="60" customWidth="1"/>
    <col min="15107" max="15107" width="65.109375" style="60" customWidth="1"/>
    <col min="15108" max="15108" width="14.33203125" style="60" customWidth="1"/>
    <col min="15109" max="15109" width="13.5546875" style="60" customWidth="1"/>
    <col min="15110" max="15111" width="12.6640625" style="60" customWidth="1"/>
    <col min="15112" max="15112" width="13.88671875" style="60" customWidth="1"/>
    <col min="15113" max="15113" width="12.88671875" style="60" customWidth="1"/>
    <col min="15114" max="15115" width="12.6640625" style="60" customWidth="1"/>
    <col min="15116" max="15116" width="5.33203125" style="60" customWidth="1"/>
    <col min="15117" max="15117" width="14.6640625" style="60" bestFit="1" customWidth="1"/>
    <col min="15118" max="15360" width="9.109375" style="60"/>
    <col min="15361" max="15361" width="11.6640625" style="60" customWidth="1"/>
    <col min="15362" max="15362" width="10.44140625" style="60" customWidth="1"/>
    <col min="15363" max="15363" width="65.109375" style="60" customWidth="1"/>
    <col min="15364" max="15364" width="14.33203125" style="60" customWidth="1"/>
    <col min="15365" max="15365" width="13.5546875" style="60" customWidth="1"/>
    <col min="15366" max="15367" width="12.6640625" style="60" customWidth="1"/>
    <col min="15368" max="15368" width="13.88671875" style="60" customWidth="1"/>
    <col min="15369" max="15369" width="12.88671875" style="60" customWidth="1"/>
    <col min="15370" max="15371" width="12.6640625" style="60" customWidth="1"/>
    <col min="15372" max="15372" width="5.33203125" style="60" customWidth="1"/>
    <col min="15373" max="15373" width="14.6640625" style="60" bestFit="1" customWidth="1"/>
    <col min="15374" max="15616" width="9.109375" style="60"/>
    <col min="15617" max="15617" width="11.6640625" style="60" customWidth="1"/>
    <col min="15618" max="15618" width="10.44140625" style="60" customWidth="1"/>
    <col min="15619" max="15619" width="65.109375" style="60" customWidth="1"/>
    <col min="15620" max="15620" width="14.33203125" style="60" customWidth="1"/>
    <col min="15621" max="15621" width="13.5546875" style="60" customWidth="1"/>
    <col min="15622" max="15623" width="12.6640625" style="60" customWidth="1"/>
    <col min="15624" max="15624" width="13.88671875" style="60" customWidth="1"/>
    <col min="15625" max="15625" width="12.88671875" style="60" customWidth="1"/>
    <col min="15626" max="15627" width="12.6640625" style="60" customWidth="1"/>
    <col min="15628" max="15628" width="5.33203125" style="60" customWidth="1"/>
    <col min="15629" max="15629" width="14.6640625" style="60" bestFit="1" customWidth="1"/>
    <col min="15630" max="15872" width="9.109375" style="60"/>
    <col min="15873" max="15873" width="11.6640625" style="60" customWidth="1"/>
    <col min="15874" max="15874" width="10.44140625" style="60" customWidth="1"/>
    <col min="15875" max="15875" width="65.109375" style="60" customWidth="1"/>
    <col min="15876" max="15876" width="14.33203125" style="60" customWidth="1"/>
    <col min="15877" max="15877" width="13.5546875" style="60" customWidth="1"/>
    <col min="15878" max="15879" width="12.6640625" style="60" customWidth="1"/>
    <col min="15880" max="15880" width="13.88671875" style="60" customWidth="1"/>
    <col min="15881" max="15881" width="12.88671875" style="60" customWidth="1"/>
    <col min="15882" max="15883" width="12.6640625" style="60" customWidth="1"/>
    <col min="15884" max="15884" width="5.33203125" style="60" customWidth="1"/>
    <col min="15885" max="15885" width="14.6640625" style="60" bestFit="1" customWidth="1"/>
    <col min="15886" max="16128" width="9.109375" style="60"/>
    <col min="16129" max="16129" width="11.6640625" style="60" customWidth="1"/>
    <col min="16130" max="16130" width="10.44140625" style="60" customWidth="1"/>
    <col min="16131" max="16131" width="65.109375" style="60" customWidth="1"/>
    <col min="16132" max="16132" width="14.33203125" style="60" customWidth="1"/>
    <col min="16133" max="16133" width="13.5546875" style="60" customWidth="1"/>
    <col min="16134" max="16135" width="12.6640625" style="60" customWidth="1"/>
    <col min="16136" max="16136" width="13.88671875" style="60" customWidth="1"/>
    <col min="16137" max="16137" width="12.88671875" style="60" customWidth="1"/>
    <col min="16138" max="16139" width="12.6640625" style="60" customWidth="1"/>
    <col min="16140" max="16140" width="5.33203125" style="60" customWidth="1"/>
    <col min="16141" max="16141" width="14.6640625" style="60" bestFit="1" customWidth="1"/>
    <col min="16142" max="16384" width="9.109375" style="60"/>
  </cols>
  <sheetData>
    <row r="1" spans="1:13" s="55" customFormat="1" x14ac:dyDescent="0.3">
      <c r="A1" s="51"/>
      <c r="B1" s="52"/>
      <c r="C1" s="52"/>
      <c r="D1" s="52"/>
      <c r="E1" s="52"/>
      <c r="F1" s="52"/>
      <c r="G1" s="52"/>
      <c r="H1" s="52"/>
      <c r="I1" s="52"/>
      <c r="J1" s="53"/>
      <c r="K1" s="54"/>
      <c r="M1" s="208"/>
    </row>
    <row r="2" spans="1:13" s="55" customFormat="1" ht="33.6" x14ac:dyDescent="0.65">
      <c r="A2" s="317"/>
      <c r="B2" s="318"/>
      <c r="C2" s="318"/>
      <c r="D2" s="318" t="str">
        <f>'PLANILHA ORÇAMENTÁRIA'!B3</f>
        <v>TIMBRADO LICITANTE</v>
      </c>
      <c r="E2" s="318"/>
      <c r="F2" s="318"/>
      <c r="G2" s="318"/>
      <c r="H2" s="318"/>
      <c r="I2" s="318"/>
      <c r="J2" s="319"/>
      <c r="K2" s="320"/>
      <c r="M2" s="208"/>
    </row>
    <row r="3" spans="1:13" s="55" customFormat="1" ht="15.6" x14ac:dyDescent="0.3">
      <c r="A3" s="300"/>
      <c r="B3" s="301"/>
      <c r="C3" s="301"/>
      <c r="D3" s="301"/>
      <c r="E3" s="301"/>
      <c r="F3" s="301"/>
      <c r="G3" s="301"/>
      <c r="H3" s="301"/>
      <c r="I3" s="301"/>
      <c r="J3" s="301"/>
      <c r="K3" s="302"/>
      <c r="M3" s="208"/>
    </row>
    <row r="4" spans="1:13" ht="14.4" thickBot="1" x14ac:dyDescent="0.35">
      <c r="A4" s="56"/>
      <c r="B4" s="57"/>
      <c r="C4" s="57"/>
      <c r="D4" s="58"/>
      <c r="E4" s="58"/>
      <c r="F4" s="57"/>
      <c r="G4" s="57"/>
      <c r="H4" s="57"/>
      <c r="I4" s="57"/>
      <c r="J4" s="57"/>
      <c r="K4" s="59"/>
    </row>
    <row r="5" spans="1:13" ht="2.25" customHeight="1" thickBot="1" x14ac:dyDescent="0.35">
      <c r="A5" s="61"/>
      <c r="B5" s="61"/>
      <c r="C5" s="61"/>
      <c r="F5" s="62"/>
      <c r="G5" s="62"/>
      <c r="H5" s="62"/>
      <c r="I5" s="61"/>
      <c r="J5" s="61"/>
      <c r="K5" s="61"/>
    </row>
    <row r="6" spans="1:13" ht="16.2" thickBot="1" x14ac:dyDescent="0.35">
      <c r="A6" s="303" t="s">
        <v>106</v>
      </c>
      <c r="B6" s="304"/>
      <c r="C6" s="304"/>
      <c r="D6" s="304"/>
      <c r="E6" s="304"/>
      <c r="F6" s="304"/>
      <c r="G6" s="304"/>
      <c r="H6" s="304"/>
      <c r="I6" s="304"/>
      <c r="J6" s="304"/>
      <c r="K6" s="305"/>
    </row>
    <row r="7" spans="1:13" ht="3.75" customHeight="1" thickBot="1" x14ac:dyDescent="0.35">
      <c r="A7" s="63"/>
      <c r="B7" s="64"/>
      <c r="C7" s="64"/>
      <c r="D7" s="65"/>
      <c r="E7" s="65"/>
      <c r="F7" s="64"/>
      <c r="G7" s="64"/>
      <c r="H7" s="64"/>
      <c r="I7" s="64"/>
      <c r="J7" s="64"/>
      <c r="K7" s="66"/>
    </row>
    <row r="8" spans="1:13" ht="18" customHeight="1" thickBot="1" x14ac:dyDescent="0.35">
      <c r="A8" s="306" t="s">
        <v>85</v>
      </c>
      <c r="B8" s="307"/>
      <c r="C8" s="307"/>
      <c r="D8" s="307"/>
      <c r="E8" s="307"/>
      <c r="F8" s="307"/>
      <c r="G8" s="307"/>
      <c r="H8" s="307"/>
      <c r="I8" s="307"/>
      <c r="J8" s="307"/>
      <c r="K8" s="308"/>
    </row>
    <row r="9" spans="1:13" ht="18" customHeight="1" x14ac:dyDescent="0.3">
      <c r="A9" s="309" t="s">
        <v>101</v>
      </c>
      <c r="B9" s="310"/>
      <c r="C9" s="311"/>
      <c r="D9" s="106" t="s">
        <v>100</v>
      </c>
      <c r="E9" s="107"/>
      <c r="F9" s="109">
        <f>E35</f>
        <v>557277.99</v>
      </c>
      <c r="G9" s="107"/>
      <c r="H9" s="108"/>
      <c r="I9" s="312" t="s">
        <v>328</v>
      </c>
      <c r="J9" s="310"/>
      <c r="K9" s="313"/>
    </row>
    <row r="10" spans="1:13" ht="28.5" customHeight="1" thickBot="1" x14ac:dyDescent="0.35">
      <c r="A10" s="291" t="str">
        <f>'PLANILHA ORÇAMENTÁRIA'!B9</f>
        <v>OBJETO: EXECUÇÃO DE OBRAS DE INFRAESTRUTURA EM VIA URBANA</v>
      </c>
      <c r="B10" s="292"/>
      <c r="C10" s="293"/>
      <c r="D10" s="294" t="str">
        <f>'PLANILHA ORÇAMENTÁRIA'!B10</f>
        <v>LOCAL: AV. BIAS FORTES, CENTRO, IBERTIOGA-MG</v>
      </c>
      <c r="E10" s="292"/>
      <c r="F10" s="292"/>
      <c r="G10" s="292"/>
      <c r="H10" s="293"/>
      <c r="I10" s="294" t="s">
        <v>278</v>
      </c>
      <c r="J10" s="292"/>
      <c r="K10" s="295"/>
    </row>
    <row r="11" spans="1:13" ht="36" customHeight="1" x14ac:dyDescent="0.3">
      <c r="A11" s="67" t="s">
        <v>86</v>
      </c>
      <c r="B11" s="68" t="s">
        <v>87</v>
      </c>
      <c r="C11" s="68" t="s">
        <v>88</v>
      </c>
      <c r="D11" s="69" t="s">
        <v>89</v>
      </c>
      <c r="E11" s="69" t="s">
        <v>90</v>
      </c>
      <c r="F11" s="68" t="s">
        <v>91</v>
      </c>
      <c r="G11" s="68" t="s">
        <v>92</v>
      </c>
      <c r="H11" s="68" t="s">
        <v>93</v>
      </c>
      <c r="I11" s="68" t="s">
        <v>94</v>
      </c>
      <c r="J11" s="68" t="s">
        <v>95</v>
      </c>
      <c r="K11" s="70" t="s">
        <v>96</v>
      </c>
    </row>
    <row r="12" spans="1:13" ht="14.25" customHeight="1" x14ac:dyDescent="0.3">
      <c r="A12" s="296">
        <f>'PLANILHA ORÇAMENTÁRIA'!B15</f>
        <v>1</v>
      </c>
      <c r="B12" s="297"/>
      <c r="C12" s="299" t="str">
        <f>'PLANILHA ORÇAMENTÁRIA'!E15</f>
        <v>INFRAESTRUTURA EM VIA URBANA</v>
      </c>
      <c r="D12" s="71" t="s">
        <v>97</v>
      </c>
      <c r="E12" s="72">
        <f>E13*100%/E35</f>
        <v>0</v>
      </c>
      <c r="F12" s="72"/>
      <c r="G12" s="72"/>
      <c r="H12" s="72"/>
      <c r="I12" s="72"/>
      <c r="J12" s="72"/>
      <c r="K12" s="73"/>
      <c r="M12" s="210">
        <f t="shared" ref="M12:M33" si="0">SUM(F12:L12)</f>
        <v>0</v>
      </c>
    </row>
    <row r="13" spans="1:13" ht="14.25" customHeight="1" x14ac:dyDescent="0.3">
      <c r="A13" s="284"/>
      <c r="B13" s="298"/>
      <c r="C13" s="288"/>
      <c r="D13" s="75" t="s">
        <v>98</v>
      </c>
      <c r="E13" s="76"/>
      <c r="F13" s="77">
        <f t="shared" ref="F13:K13" si="1">F12*$E$13</f>
        <v>0</v>
      </c>
      <c r="G13" s="77">
        <f t="shared" si="1"/>
        <v>0</v>
      </c>
      <c r="H13" s="77">
        <f t="shared" si="1"/>
        <v>0</v>
      </c>
      <c r="I13" s="77">
        <f t="shared" si="1"/>
        <v>0</v>
      </c>
      <c r="J13" s="77">
        <f t="shared" si="1"/>
        <v>0</v>
      </c>
      <c r="K13" s="78">
        <f t="shared" si="1"/>
        <v>0</v>
      </c>
      <c r="M13" s="211">
        <f t="shared" si="0"/>
        <v>0</v>
      </c>
    </row>
    <row r="14" spans="1:13" ht="14.25" customHeight="1" x14ac:dyDescent="0.3">
      <c r="A14" s="283" t="str">
        <f>'PLANILHA ORÇAMENTÁRIA'!B17</f>
        <v>1.1</v>
      </c>
      <c r="B14" s="289"/>
      <c r="C14" s="287" t="str">
        <f>'PLANILHA ORÇAMENTÁRIA'!E17</f>
        <v>DRENAGEM PLUVIAL SUBTERRÂNEA</v>
      </c>
      <c r="D14" s="75" t="s">
        <v>97</v>
      </c>
      <c r="E14" s="72">
        <f>E15*100%/E35</f>
        <v>0.75885157423855909</v>
      </c>
      <c r="F14" s="72">
        <v>0.5</v>
      </c>
      <c r="G14" s="72">
        <v>0.5</v>
      </c>
      <c r="H14" s="72"/>
      <c r="I14" s="72"/>
      <c r="J14" s="72"/>
      <c r="K14" s="73"/>
      <c r="M14" s="210">
        <f t="shared" si="0"/>
        <v>1</v>
      </c>
    </row>
    <row r="15" spans="1:13" ht="14.25" customHeight="1" x14ac:dyDescent="0.3">
      <c r="A15" s="284"/>
      <c r="B15" s="286"/>
      <c r="C15" s="288"/>
      <c r="D15" s="75" t="s">
        <v>98</v>
      </c>
      <c r="E15" s="76">
        <f>'PLANILHA ORÇAMENTÁRIA'!J17</f>
        <v>422891.27999999997</v>
      </c>
      <c r="F15" s="77">
        <f t="shared" ref="F15:K15" si="2">F14*$E$15</f>
        <v>211445.63999999998</v>
      </c>
      <c r="G15" s="77">
        <f t="shared" si="2"/>
        <v>211445.63999999998</v>
      </c>
      <c r="H15" s="77">
        <f t="shared" si="2"/>
        <v>0</v>
      </c>
      <c r="I15" s="77">
        <f t="shared" si="2"/>
        <v>0</v>
      </c>
      <c r="J15" s="77">
        <f t="shared" si="2"/>
        <v>0</v>
      </c>
      <c r="K15" s="78">
        <f t="shared" si="2"/>
        <v>0</v>
      </c>
      <c r="M15" s="211">
        <f t="shared" si="0"/>
        <v>422891.27999999997</v>
      </c>
    </row>
    <row r="16" spans="1:13" ht="14.25" customHeight="1" x14ac:dyDescent="0.3">
      <c r="A16" s="283" t="str">
        <f>'PLANILHA ORÇAMENTÁRIA'!B39</f>
        <v>1.2</v>
      </c>
      <c r="B16" s="289"/>
      <c r="C16" s="287" t="str">
        <f>'PLANILHA ORÇAMENTÁRIA'!E39</f>
        <v>REDE  SANITÁRIA</v>
      </c>
      <c r="D16" s="75" t="s">
        <v>97</v>
      </c>
      <c r="E16" s="72">
        <f>E17*100%/E35</f>
        <v>7.1856184379361546E-2</v>
      </c>
      <c r="F16" s="72"/>
      <c r="G16" s="72">
        <v>0.5</v>
      </c>
      <c r="H16" s="72">
        <v>0.5</v>
      </c>
      <c r="I16" s="72"/>
      <c r="J16" s="72"/>
      <c r="K16" s="73"/>
      <c r="M16" s="210">
        <f t="shared" si="0"/>
        <v>1</v>
      </c>
    </row>
    <row r="17" spans="1:20" ht="14.25" customHeight="1" x14ac:dyDescent="0.3">
      <c r="A17" s="284"/>
      <c r="B17" s="286"/>
      <c r="C17" s="288"/>
      <c r="D17" s="75" t="s">
        <v>98</v>
      </c>
      <c r="E17" s="76">
        <f>'PLANILHA ORÇAMENTÁRIA'!J39</f>
        <v>40043.870000000003</v>
      </c>
      <c r="F17" s="77">
        <f t="shared" ref="F17:K17" si="3">F16*$E$17</f>
        <v>0</v>
      </c>
      <c r="G17" s="77">
        <f t="shared" si="3"/>
        <v>20021.935000000001</v>
      </c>
      <c r="H17" s="77">
        <f t="shared" si="3"/>
        <v>20021.935000000001</v>
      </c>
      <c r="I17" s="77">
        <f t="shared" si="3"/>
        <v>0</v>
      </c>
      <c r="J17" s="77">
        <f t="shared" si="3"/>
        <v>0</v>
      </c>
      <c r="K17" s="78">
        <f t="shared" si="3"/>
        <v>0</v>
      </c>
      <c r="M17" s="211">
        <f t="shared" si="0"/>
        <v>40043.870000000003</v>
      </c>
    </row>
    <row r="18" spans="1:20" ht="14.25" customHeight="1" x14ac:dyDescent="0.3">
      <c r="A18" s="283" t="str">
        <f>'PLANILHA ORÇAMENTÁRIA'!B51</f>
        <v>1.3</v>
      </c>
      <c r="B18" s="289"/>
      <c r="C18" s="287" t="str">
        <f>'PLANILHA ORÇAMENTÁRIA'!E51</f>
        <v>TERRAPLENAGEM</v>
      </c>
      <c r="D18" s="75" t="s">
        <v>97</v>
      </c>
      <c r="E18" s="72">
        <f>E19*100%/E35</f>
        <v>7.2214228306414904E-3</v>
      </c>
      <c r="F18" s="72"/>
      <c r="G18" s="72"/>
      <c r="H18" s="72"/>
      <c r="I18" s="72">
        <v>1</v>
      </c>
      <c r="J18" s="72"/>
      <c r="K18" s="73"/>
      <c r="M18" s="210">
        <f t="shared" si="0"/>
        <v>1</v>
      </c>
    </row>
    <row r="19" spans="1:20" ht="14.25" customHeight="1" x14ac:dyDescent="0.3">
      <c r="A19" s="284"/>
      <c r="B19" s="286"/>
      <c r="C19" s="288"/>
      <c r="D19" s="75" t="s">
        <v>98</v>
      </c>
      <c r="E19" s="76">
        <f>'PLANILHA ORÇAMENTÁRIA'!J51</f>
        <v>4024.34</v>
      </c>
      <c r="F19" s="77">
        <f t="shared" ref="F19:K19" si="4">F18*$E$19</f>
        <v>0</v>
      </c>
      <c r="G19" s="77">
        <f t="shared" si="4"/>
        <v>0</v>
      </c>
      <c r="H19" s="77">
        <f t="shared" si="4"/>
        <v>0</v>
      </c>
      <c r="I19" s="77">
        <f t="shared" si="4"/>
        <v>4024.34</v>
      </c>
      <c r="J19" s="77">
        <f t="shared" si="4"/>
        <v>0</v>
      </c>
      <c r="K19" s="78">
        <f t="shared" si="4"/>
        <v>0</v>
      </c>
      <c r="M19" s="211">
        <f t="shared" si="0"/>
        <v>4024.34</v>
      </c>
    </row>
    <row r="20" spans="1:20" ht="14.25" customHeight="1" x14ac:dyDescent="0.3">
      <c r="A20" s="283" t="str">
        <f>'PLANILHA ORÇAMENTÁRIA'!B58</f>
        <v>1.4</v>
      </c>
      <c r="B20" s="285"/>
      <c r="C20" s="287" t="str">
        <f>'PLANILHA ORÇAMENTÁRIA'!E58</f>
        <v>PAVIMENTAÇÃO EM CBUQ</v>
      </c>
      <c r="D20" s="75" t="s">
        <v>97</v>
      </c>
      <c r="E20" s="72">
        <f>E21*100%/E35</f>
        <v>0.12086160086817711</v>
      </c>
      <c r="F20" s="72"/>
      <c r="G20" s="72"/>
      <c r="H20" s="72"/>
      <c r="I20" s="72">
        <v>1</v>
      </c>
      <c r="J20" s="72"/>
      <c r="K20" s="73"/>
      <c r="M20" s="210">
        <f t="shared" si="0"/>
        <v>1</v>
      </c>
    </row>
    <row r="21" spans="1:20" ht="14.25" customHeight="1" x14ac:dyDescent="0.3">
      <c r="A21" s="284"/>
      <c r="B21" s="286"/>
      <c r="C21" s="288"/>
      <c r="D21" s="75" t="s">
        <v>98</v>
      </c>
      <c r="E21" s="76">
        <f>'PLANILHA ORÇAMENTÁRIA'!J58</f>
        <v>67353.509999999995</v>
      </c>
      <c r="F21" s="77">
        <f t="shared" ref="F21:K21" si="5">F20*$E$21</f>
        <v>0</v>
      </c>
      <c r="G21" s="77">
        <f t="shared" si="5"/>
        <v>0</v>
      </c>
      <c r="H21" s="77">
        <f t="shared" si="5"/>
        <v>0</v>
      </c>
      <c r="I21" s="77">
        <f t="shared" si="5"/>
        <v>67353.509999999995</v>
      </c>
      <c r="J21" s="77">
        <f t="shared" si="5"/>
        <v>0</v>
      </c>
      <c r="K21" s="78">
        <f t="shared" si="5"/>
        <v>0</v>
      </c>
      <c r="M21" s="211">
        <f t="shared" si="0"/>
        <v>67353.509999999995</v>
      </c>
    </row>
    <row r="22" spans="1:20" ht="14.25" customHeight="1" x14ac:dyDescent="0.3">
      <c r="A22" s="283" t="str">
        <f>'PLANILHA ORÇAMENTÁRIA'!B67</f>
        <v>1.5</v>
      </c>
      <c r="B22" s="289"/>
      <c r="C22" s="287" t="str">
        <f>'PLANILHA ORÇAMENTÁRIA'!E67</f>
        <v>DRENAGEM PLUVIAL SUPERFICIAL</v>
      </c>
      <c r="D22" s="75" t="s">
        <v>97</v>
      </c>
      <c r="E22" s="72">
        <f>E23*100%/E35</f>
        <v>1.5351404780942452E-2</v>
      </c>
      <c r="F22" s="72"/>
      <c r="G22" s="72"/>
      <c r="H22" s="72">
        <v>1</v>
      </c>
      <c r="I22" s="72"/>
      <c r="J22" s="72"/>
      <c r="K22" s="73"/>
      <c r="M22" s="210">
        <f t="shared" si="0"/>
        <v>1</v>
      </c>
      <c r="N22" s="74"/>
    </row>
    <row r="23" spans="1:20" ht="14.25" customHeight="1" x14ac:dyDescent="0.3">
      <c r="A23" s="284"/>
      <c r="B23" s="290"/>
      <c r="C23" s="288"/>
      <c r="D23" s="75" t="s">
        <v>98</v>
      </c>
      <c r="E23" s="76">
        <f>'PLANILHA ORÇAMENTÁRIA'!J67</f>
        <v>8555</v>
      </c>
      <c r="F23" s="77">
        <f t="shared" ref="F23:K23" si="6">F22*$E$23</f>
        <v>0</v>
      </c>
      <c r="G23" s="77">
        <f t="shared" si="6"/>
        <v>0</v>
      </c>
      <c r="H23" s="77">
        <f t="shared" si="6"/>
        <v>8555</v>
      </c>
      <c r="I23" s="77">
        <f t="shared" si="6"/>
        <v>0</v>
      </c>
      <c r="J23" s="77">
        <f t="shared" si="6"/>
        <v>0</v>
      </c>
      <c r="K23" s="78">
        <f t="shared" si="6"/>
        <v>0</v>
      </c>
      <c r="M23" s="211">
        <f t="shared" si="0"/>
        <v>8555</v>
      </c>
    </row>
    <row r="24" spans="1:20" ht="14.25" customHeight="1" x14ac:dyDescent="0.3">
      <c r="A24" s="283" t="str">
        <f>'PLANILHA ORÇAMENTÁRIA'!B71</f>
        <v>1.6</v>
      </c>
      <c r="B24" s="289"/>
      <c r="C24" s="287" t="str">
        <f>'PLANILHA ORÇAMENTÁRIA'!E71</f>
        <v>SINALIZAÇÃO VERTICAL E HORIZONTAL</v>
      </c>
      <c r="D24" s="75" t="s">
        <v>97</v>
      </c>
      <c r="E24" s="72">
        <f>E25*100%/E35</f>
        <v>5.7513845109870565E-3</v>
      </c>
      <c r="F24" s="72"/>
      <c r="G24" s="72"/>
      <c r="H24" s="72"/>
      <c r="I24" s="72">
        <v>1</v>
      </c>
      <c r="J24" s="72"/>
      <c r="K24" s="73"/>
      <c r="M24" s="210">
        <f t="shared" si="0"/>
        <v>1</v>
      </c>
      <c r="N24" s="74"/>
    </row>
    <row r="25" spans="1:20" ht="14.25" customHeight="1" x14ac:dyDescent="0.3">
      <c r="A25" s="284"/>
      <c r="B25" s="290"/>
      <c r="C25" s="288"/>
      <c r="D25" s="75" t="s">
        <v>98</v>
      </c>
      <c r="E25" s="76">
        <f>'PLANILHA ORÇAMENTÁRIA'!J71</f>
        <v>3205.12</v>
      </c>
      <c r="F25" s="77">
        <f t="shared" ref="F25:K25" si="7">F24*$E$25</f>
        <v>0</v>
      </c>
      <c r="G25" s="77">
        <f t="shared" si="7"/>
        <v>0</v>
      </c>
      <c r="H25" s="77">
        <f t="shared" si="7"/>
        <v>0</v>
      </c>
      <c r="I25" s="77">
        <f t="shared" si="7"/>
        <v>3205.12</v>
      </c>
      <c r="J25" s="77">
        <f t="shared" si="7"/>
        <v>0</v>
      </c>
      <c r="K25" s="78">
        <f t="shared" si="7"/>
        <v>0</v>
      </c>
      <c r="M25" s="211">
        <f t="shared" si="0"/>
        <v>3205.12</v>
      </c>
      <c r="N25" s="74"/>
    </row>
    <row r="26" spans="1:20" ht="14.25" customHeight="1" x14ac:dyDescent="0.3">
      <c r="A26" s="283" t="str">
        <f>'PLANILHA ORÇAMENTÁRIA'!B76</f>
        <v>1.7</v>
      </c>
      <c r="B26" s="285"/>
      <c r="C26" s="287" t="str">
        <f>'PLANILHA ORÇAMENTÁRIA'!E76</f>
        <v>ADMINISTRAÇÃO LOCAL</v>
      </c>
      <c r="D26" s="75" t="s">
        <v>97</v>
      </c>
      <c r="E26" s="72">
        <f>E27*100%/E35</f>
        <v>2.010642839133123E-2</v>
      </c>
      <c r="F26" s="72">
        <v>0.25</v>
      </c>
      <c r="G26" s="72">
        <v>0.25</v>
      </c>
      <c r="H26" s="72">
        <v>0.25</v>
      </c>
      <c r="I26" s="72">
        <v>0.25</v>
      </c>
      <c r="J26" s="72"/>
      <c r="K26" s="73"/>
      <c r="M26" s="210">
        <f t="shared" si="0"/>
        <v>1</v>
      </c>
    </row>
    <row r="27" spans="1:20" ht="14.25" customHeight="1" x14ac:dyDescent="0.3">
      <c r="A27" s="284"/>
      <c r="B27" s="286"/>
      <c r="C27" s="288"/>
      <c r="D27" s="75" t="s">
        <v>98</v>
      </c>
      <c r="E27" s="76">
        <f>'PLANILHA ORÇAMENTÁRIA'!J76</f>
        <v>11204.87</v>
      </c>
      <c r="F27" s="77">
        <f t="shared" ref="F27:K27" si="8">F26*$E$27</f>
        <v>2801.2175000000002</v>
      </c>
      <c r="G27" s="77">
        <f t="shared" si="8"/>
        <v>2801.2175000000002</v>
      </c>
      <c r="H27" s="77">
        <f t="shared" si="8"/>
        <v>2801.2175000000002</v>
      </c>
      <c r="I27" s="77">
        <f t="shared" si="8"/>
        <v>2801.2175000000002</v>
      </c>
      <c r="J27" s="77">
        <f t="shared" si="8"/>
        <v>0</v>
      </c>
      <c r="K27" s="78">
        <f t="shared" si="8"/>
        <v>0</v>
      </c>
      <c r="M27" s="211">
        <f t="shared" si="0"/>
        <v>11204.87</v>
      </c>
      <c r="T27" s="74"/>
    </row>
    <row r="28" spans="1:20" ht="14.25" customHeight="1" x14ac:dyDescent="0.3">
      <c r="A28" s="283"/>
      <c r="B28" s="285"/>
      <c r="C28" s="287"/>
      <c r="D28" s="75" t="s">
        <v>97</v>
      </c>
      <c r="E28" s="72">
        <f>E29*100%/E35</f>
        <v>0</v>
      </c>
      <c r="F28" s="72"/>
      <c r="G28" s="72"/>
      <c r="H28" s="72"/>
      <c r="I28" s="72"/>
      <c r="J28" s="72"/>
      <c r="K28" s="73"/>
      <c r="M28" s="210">
        <f t="shared" si="0"/>
        <v>0</v>
      </c>
    </row>
    <row r="29" spans="1:20" ht="14.25" customHeight="1" x14ac:dyDescent="0.3">
      <c r="A29" s="284"/>
      <c r="B29" s="286"/>
      <c r="C29" s="288"/>
      <c r="D29" s="75" t="s">
        <v>98</v>
      </c>
      <c r="E29" s="76"/>
      <c r="F29" s="77">
        <f t="shared" ref="F29:K29" si="9">F28*$E$29</f>
        <v>0</v>
      </c>
      <c r="G29" s="77">
        <f t="shared" si="9"/>
        <v>0</v>
      </c>
      <c r="H29" s="77">
        <f t="shared" si="9"/>
        <v>0</v>
      </c>
      <c r="I29" s="77">
        <f t="shared" si="9"/>
        <v>0</v>
      </c>
      <c r="J29" s="77">
        <f t="shared" si="9"/>
        <v>0</v>
      </c>
      <c r="K29" s="78">
        <f t="shared" si="9"/>
        <v>0</v>
      </c>
      <c r="M29" s="211">
        <f t="shared" si="0"/>
        <v>0</v>
      </c>
    </row>
    <row r="30" spans="1:20" ht="14.25" customHeight="1" x14ac:dyDescent="0.3">
      <c r="A30" s="283"/>
      <c r="B30" s="285"/>
      <c r="C30" s="287"/>
      <c r="D30" s="75" t="s">
        <v>97</v>
      </c>
      <c r="E30" s="72">
        <f>E31*100%/E35</f>
        <v>0</v>
      </c>
      <c r="F30" s="72"/>
      <c r="G30" s="72"/>
      <c r="H30" s="72"/>
      <c r="I30" s="72"/>
      <c r="J30" s="72"/>
      <c r="K30" s="73"/>
      <c r="M30" s="210">
        <f t="shared" si="0"/>
        <v>0</v>
      </c>
    </row>
    <row r="31" spans="1:20" ht="14.25" customHeight="1" x14ac:dyDescent="0.3">
      <c r="A31" s="284"/>
      <c r="B31" s="286"/>
      <c r="C31" s="288"/>
      <c r="D31" s="75" t="s">
        <v>98</v>
      </c>
      <c r="E31" s="76"/>
      <c r="F31" s="77">
        <f t="shared" ref="F31:K31" si="10">F30*$E$31</f>
        <v>0</v>
      </c>
      <c r="G31" s="77">
        <f t="shared" si="10"/>
        <v>0</v>
      </c>
      <c r="H31" s="77">
        <f t="shared" si="10"/>
        <v>0</v>
      </c>
      <c r="I31" s="77">
        <f t="shared" si="10"/>
        <v>0</v>
      </c>
      <c r="J31" s="77">
        <f t="shared" si="10"/>
        <v>0</v>
      </c>
      <c r="K31" s="78">
        <f t="shared" si="10"/>
        <v>0</v>
      </c>
      <c r="M31" s="211">
        <f t="shared" si="0"/>
        <v>0</v>
      </c>
    </row>
    <row r="32" spans="1:20" ht="14.25" customHeight="1" x14ac:dyDescent="0.3">
      <c r="A32" s="283"/>
      <c r="B32" s="285"/>
      <c r="C32" s="287"/>
      <c r="D32" s="75" t="s">
        <v>97</v>
      </c>
      <c r="E32" s="72">
        <f>E33*100%/E35</f>
        <v>0</v>
      </c>
      <c r="F32" s="72"/>
      <c r="G32" s="72"/>
      <c r="H32" s="72"/>
      <c r="I32" s="72"/>
      <c r="J32" s="72"/>
      <c r="K32" s="73"/>
      <c r="M32" s="210">
        <f t="shared" si="0"/>
        <v>0</v>
      </c>
    </row>
    <row r="33" spans="1:13" ht="14.25" customHeight="1" x14ac:dyDescent="0.3">
      <c r="A33" s="284"/>
      <c r="B33" s="286"/>
      <c r="C33" s="288"/>
      <c r="D33" s="75" t="s">
        <v>98</v>
      </c>
      <c r="E33" s="76"/>
      <c r="F33" s="77">
        <f t="shared" ref="F33:K33" si="11">F32*$E$33</f>
        <v>0</v>
      </c>
      <c r="G33" s="77">
        <f t="shared" si="11"/>
        <v>0</v>
      </c>
      <c r="H33" s="77">
        <f t="shared" si="11"/>
        <v>0</v>
      </c>
      <c r="I33" s="77">
        <f t="shared" si="11"/>
        <v>0</v>
      </c>
      <c r="J33" s="77">
        <f t="shared" si="11"/>
        <v>0</v>
      </c>
      <c r="K33" s="78">
        <f t="shared" si="11"/>
        <v>0</v>
      </c>
      <c r="M33" s="211">
        <f t="shared" si="0"/>
        <v>0</v>
      </c>
    </row>
    <row r="34" spans="1:13" ht="14.25" customHeight="1" x14ac:dyDescent="0.3">
      <c r="A34" s="273" t="s">
        <v>71</v>
      </c>
      <c r="B34" s="274"/>
      <c r="C34" s="275"/>
      <c r="D34" s="79" t="s">
        <v>97</v>
      </c>
      <c r="E34" s="80">
        <f>E12+E14+E16+E18+E20+E22+E24+E26+E28+E30+E32</f>
        <v>1</v>
      </c>
      <c r="F34" s="80">
        <f t="shared" ref="F34:K34" si="12">F35*100%/$E$35</f>
        <v>0.38445239421711236</v>
      </c>
      <c r="G34" s="80">
        <f t="shared" si="12"/>
        <v>0.4203804864067931</v>
      </c>
      <c r="H34" s="80">
        <f t="shared" si="12"/>
        <v>5.6306104068456035E-2</v>
      </c>
      <c r="I34" s="80">
        <f t="shared" si="12"/>
        <v>0.13886101530763845</v>
      </c>
      <c r="J34" s="80">
        <f t="shared" si="12"/>
        <v>0</v>
      </c>
      <c r="K34" s="81">
        <f t="shared" si="12"/>
        <v>0</v>
      </c>
      <c r="M34" s="210">
        <f>SUM(F34:L34)</f>
        <v>1</v>
      </c>
    </row>
    <row r="35" spans="1:13" ht="13.5" customHeight="1" thickBot="1" x14ac:dyDescent="0.35">
      <c r="A35" s="276"/>
      <c r="B35" s="277"/>
      <c r="C35" s="278"/>
      <c r="D35" s="82" t="s">
        <v>98</v>
      </c>
      <c r="E35" s="83">
        <f>E13+E15+E17+E19+E21+E23+E25+E27+E29+E31+E33</f>
        <v>557277.99</v>
      </c>
      <c r="F35" s="83">
        <f t="shared" ref="F35:K35" si="13">F13+F15+F17+F19+F21+F23+F25+F27+F29+F31+F33</f>
        <v>214246.85749999998</v>
      </c>
      <c r="G35" s="83">
        <f t="shared" si="13"/>
        <v>234268.79249999998</v>
      </c>
      <c r="H35" s="83">
        <f t="shared" si="13"/>
        <v>31378.1525</v>
      </c>
      <c r="I35" s="83">
        <f t="shared" si="13"/>
        <v>77384.187499999985</v>
      </c>
      <c r="J35" s="83">
        <f t="shared" si="13"/>
        <v>0</v>
      </c>
      <c r="K35" s="84">
        <f t="shared" si="13"/>
        <v>0</v>
      </c>
      <c r="M35" s="211">
        <f>SUM(F35:L35)</f>
        <v>557277.99</v>
      </c>
    </row>
    <row r="36" spans="1:13" ht="1.5" customHeight="1" thickBot="1" x14ac:dyDescent="0.35">
      <c r="A36" s="85"/>
      <c r="B36" s="86"/>
      <c r="C36" s="86"/>
      <c r="D36" s="87"/>
      <c r="E36" s="87"/>
      <c r="F36" s="86"/>
      <c r="G36" s="86"/>
      <c r="H36" s="86"/>
      <c r="I36" s="86"/>
      <c r="J36" s="86"/>
      <c r="K36" s="88"/>
    </row>
    <row r="37" spans="1:13" ht="14.25" customHeight="1" x14ac:dyDescent="0.3">
      <c r="A37" s="89"/>
      <c r="B37" s="90"/>
      <c r="C37" s="90"/>
      <c r="D37" s="90"/>
      <c r="E37" s="90"/>
      <c r="F37" s="90"/>
      <c r="G37" s="91"/>
      <c r="H37" s="92"/>
      <c r="I37" s="93"/>
      <c r="J37" s="93"/>
      <c r="K37" s="94"/>
      <c r="M37" s="209" t="s">
        <v>99</v>
      </c>
    </row>
    <row r="38" spans="1:13" ht="14.25" customHeight="1" x14ac:dyDescent="0.3">
      <c r="A38" s="95"/>
      <c r="B38" s="96"/>
      <c r="C38" s="96"/>
      <c r="D38" s="96"/>
      <c r="E38" s="96"/>
      <c r="F38" s="96"/>
      <c r="G38" s="97"/>
      <c r="H38" s="98"/>
      <c r="I38" s="64"/>
      <c r="J38" s="64"/>
      <c r="K38" s="66"/>
    </row>
    <row r="39" spans="1:13" ht="14.25" customHeight="1" x14ac:dyDescent="0.3">
      <c r="A39" s="95"/>
      <c r="B39" s="96"/>
      <c r="C39" s="96"/>
      <c r="D39" s="96"/>
      <c r="E39" s="96"/>
      <c r="F39" s="96"/>
      <c r="G39" s="97"/>
      <c r="H39" s="98"/>
      <c r="I39" s="64"/>
      <c r="J39" s="64"/>
      <c r="K39" s="66"/>
    </row>
    <row r="40" spans="1:13" ht="14.25" customHeight="1" x14ac:dyDescent="0.3">
      <c r="A40" s="95"/>
      <c r="B40" s="279" t="str">
        <f>'PLANILHA ORÇAMENTÁRIA'!B87</f>
        <v>XXXXXXXXXXXXXXXXX</v>
      </c>
      <c r="C40" s="279"/>
      <c r="D40" s="280"/>
      <c r="E40" s="280"/>
      <c r="F40" s="280"/>
      <c r="G40" s="281"/>
      <c r="H40" s="99" t="s">
        <v>18</v>
      </c>
      <c r="I40" s="64"/>
      <c r="J40" s="64"/>
      <c r="K40" s="66"/>
    </row>
    <row r="41" spans="1:13" ht="14.25" customHeight="1" x14ac:dyDescent="0.3">
      <c r="A41" s="100"/>
      <c r="B41" s="282" t="str">
        <f>'PLANILHA ORÇAMENTÁRIA'!B88</f>
        <v>REPRESENTANTE LEGAL</v>
      </c>
      <c r="C41" s="282"/>
      <c r="D41" s="65"/>
      <c r="E41" s="282"/>
      <c r="F41" s="282"/>
      <c r="G41" s="101"/>
      <c r="H41" s="98"/>
      <c r="I41" s="64"/>
      <c r="J41" s="64"/>
      <c r="K41" s="66"/>
    </row>
    <row r="42" spans="1:13" ht="14.25" customHeight="1" x14ac:dyDescent="0.3">
      <c r="A42" s="100"/>
      <c r="B42" s="282" t="str">
        <f>'PLANILHA ORÇAMENTÁRIA'!B89</f>
        <v>NOME DA EMPRESA LICITANTE</v>
      </c>
      <c r="C42" s="282"/>
      <c r="D42" s="65"/>
      <c r="E42" s="282"/>
      <c r="F42" s="282"/>
      <c r="G42" s="101"/>
      <c r="H42" s="98"/>
      <c r="I42" s="64"/>
      <c r="J42" s="64"/>
      <c r="K42" s="66"/>
    </row>
    <row r="43" spans="1:13" ht="15" customHeight="1" thickBot="1" x14ac:dyDescent="0.35">
      <c r="A43" s="110"/>
      <c r="B43" s="102"/>
      <c r="C43" s="102"/>
      <c r="D43" s="111"/>
      <c r="E43" s="272"/>
      <c r="F43" s="272"/>
      <c r="G43" s="103"/>
      <c r="H43" s="104"/>
      <c r="I43" s="102"/>
      <c r="J43" s="102"/>
      <c r="K43" s="105"/>
    </row>
    <row r="44" spans="1:13" ht="14.1" customHeight="1" x14ac:dyDescent="0.3"/>
    <row r="45" spans="1:13" ht="14.1" customHeight="1" x14ac:dyDescent="0.3"/>
    <row r="46" spans="1:13" ht="17.25" customHeight="1" x14ac:dyDescent="0.3"/>
  </sheetData>
  <mergeCells count="49">
    <mergeCell ref="A3:K3"/>
    <mergeCell ref="A6:K6"/>
    <mergeCell ref="A8:K8"/>
    <mergeCell ref="A9:C9"/>
    <mergeCell ref="I9:K9"/>
    <mergeCell ref="A10:C10"/>
    <mergeCell ref="D10:H10"/>
    <mergeCell ref="I10:K10"/>
    <mergeCell ref="A12:A13"/>
    <mergeCell ref="B12:B13"/>
    <mergeCell ref="C12:C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20:A21"/>
    <mergeCell ref="B20:B21"/>
    <mergeCell ref="C20:C21"/>
    <mergeCell ref="A22:A23"/>
    <mergeCell ref="B22:B23"/>
    <mergeCell ref="C22:C23"/>
    <mergeCell ref="A24:A25"/>
    <mergeCell ref="B24:B25"/>
    <mergeCell ref="C24:C25"/>
    <mergeCell ref="A26:A27"/>
    <mergeCell ref="B26:B27"/>
    <mergeCell ref="C26:C27"/>
    <mergeCell ref="A28:A29"/>
    <mergeCell ref="B28:B29"/>
    <mergeCell ref="C28:C29"/>
    <mergeCell ref="A30:A31"/>
    <mergeCell ref="B30:B31"/>
    <mergeCell ref="C30:C31"/>
    <mergeCell ref="A32:A33"/>
    <mergeCell ref="B32:B33"/>
    <mergeCell ref="C32:C33"/>
    <mergeCell ref="E43:F43"/>
    <mergeCell ref="A34:C35"/>
    <mergeCell ref="B40:C40"/>
    <mergeCell ref="D40:G40"/>
    <mergeCell ref="B41:C41"/>
    <mergeCell ref="E41:F41"/>
    <mergeCell ref="E42:F42"/>
    <mergeCell ref="B42:C42"/>
  </mergeCells>
  <pageMargins left="0.51181102362204722" right="0.51181102362204722" top="0.78740157480314965" bottom="0.78740157480314965" header="0.31496062992125984" footer="0.31496062992125984"/>
  <pageSetup paperSize="9" scale="70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B040F-45C7-4CB3-9A5B-BDB916FCCE68}">
  <dimension ref="B1:H1"/>
  <sheetViews>
    <sheetView zoomScale="83" zoomScaleNormal="83" workbookViewId="0">
      <selection activeCell="K20" sqref="K20"/>
    </sheetView>
  </sheetViews>
  <sheetFormatPr defaultColWidth="4" defaultRowHeight="10.199999999999999" x14ac:dyDescent="0.2"/>
  <cols>
    <col min="1" max="1" width="4" style="150"/>
    <col min="2" max="2" width="4" style="151"/>
    <col min="3" max="3" width="4" style="155"/>
    <col min="4" max="4" width="4" style="156"/>
    <col min="5" max="8" width="4" style="151"/>
    <col min="9" max="16384" width="4" style="150"/>
  </cols>
  <sheetData/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7" r:id="rId4" name="Button 3">
              <controlPr defaultSize="0" print="0" autoFill="0" autoPict="0">
                <anchor moveWithCells="1">
                  <from>
                    <xdr:col>1</xdr:col>
                    <xdr:colOff>30480</xdr:colOff>
                    <xdr:row>0</xdr:row>
                    <xdr:rowOff>0</xdr:rowOff>
                  </from>
                  <to>
                    <xdr:col>1</xdr:col>
                    <xdr:colOff>274320</xdr:colOff>
                    <xdr:row>0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Button 4">
              <controlPr defaultSize="0" print="0" autoFill="0" autoPict="0">
                <anchor moveWithCells="1">
                  <from>
                    <xdr:col>3</xdr:col>
                    <xdr:colOff>762000</xdr:colOff>
                    <xdr:row>0</xdr:row>
                    <xdr:rowOff>0</xdr:rowOff>
                  </from>
                  <to>
                    <xdr:col>3</xdr:col>
                    <xdr:colOff>762000</xdr:colOff>
                    <xdr:row>0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Button 5">
              <controlPr defaultSize="0" print="0" autoFill="0" autoPict="0">
                <anchor moveWithCells="1">
                  <from>
                    <xdr:col>3</xdr:col>
                    <xdr:colOff>2103120</xdr:colOff>
                    <xdr:row>0</xdr:row>
                    <xdr:rowOff>0</xdr:rowOff>
                  </from>
                  <to>
                    <xdr:col>3</xdr:col>
                    <xdr:colOff>2103120</xdr:colOff>
                    <xdr:row>0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7" name="Button 6">
              <controlPr defaultSize="0" print="0" autoFill="0" autoPict="0">
                <anchor moveWithCells="1">
                  <from>
                    <xdr:col>3</xdr:col>
                    <xdr:colOff>3429000</xdr:colOff>
                    <xdr:row>0</xdr:row>
                    <xdr:rowOff>0</xdr:rowOff>
                  </from>
                  <to>
                    <xdr:col>3</xdr:col>
                    <xdr:colOff>3429000</xdr:colOff>
                    <xdr:row>0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8" name="Button 8">
              <controlPr defaultSize="0" print="0" autoFill="0" autoPict="0">
                <anchor moveWithCells="1">
                  <from>
                    <xdr:col>8</xdr:col>
                    <xdr:colOff>0</xdr:colOff>
                    <xdr:row>0</xdr:row>
                    <xdr:rowOff>0</xdr:rowOff>
                  </from>
                  <to>
                    <xdr:col>8</xdr:col>
                    <xdr:colOff>205740</xdr:colOff>
                    <xdr:row>0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9" name="Button 9">
              <controlPr defaultSize="0" print="0" autoFill="0" autoPict="0">
                <anchor moveWithCells="1">
                  <from>
                    <xdr:col>8</xdr:col>
                    <xdr:colOff>0</xdr:colOff>
                    <xdr:row>0</xdr:row>
                    <xdr:rowOff>0</xdr:rowOff>
                  </from>
                  <to>
                    <xdr:col>8</xdr:col>
                    <xdr:colOff>205740</xdr:colOff>
                    <xdr:row>0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MEMÓRIA DE CÁLCULO</vt:lpstr>
      <vt:lpstr>COMPOSIÇÃO BDI</vt:lpstr>
      <vt:lpstr>COMPOSIÇÕES</vt:lpstr>
      <vt:lpstr>CRONOGRAMA FÍSICO-FINANCEIRO</vt:lpstr>
      <vt:lpstr>Planilha1</vt:lpstr>
      <vt:lpstr>'COMPOSIÇÃO BDI'!Area_de_impressao</vt:lpstr>
      <vt:lpstr>COMPOSIÇÕES!Area_de_impressao</vt:lpstr>
      <vt:lpstr>'CRONOGRAMA FÍSICO-FINANCEIRO'!Area_de_impressao</vt:lpstr>
      <vt:lpstr>'MEMÓRIA DE CÁLCULO'!Area_de_impressao</vt:lpstr>
      <vt:lpstr>'PLANILHA ORÇAMENTÁRIA'!Area_de_impressao</vt:lpstr>
      <vt:lpstr>'MEMÓRIA DE CÁLCULO'!Titulos_de_impressao</vt:lpstr>
      <vt:lpstr>'PLANILHA ORÇAMENTÁRIA'!Titulos_de_impressao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CLIFFORD</dc:creator>
  <cp:lastModifiedBy>CLIFFORD</cp:lastModifiedBy>
  <cp:lastPrinted>2023-03-27T12:34:43Z</cp:lastPrinted>
  <dcterms:created xsi:type="dcterms:W3CDTF">2017-02-15T14:16:44Z</dcterms:created>
  <dcterms:modified xsi:type="dcterms:W3CDTF">2023-03-27T12:59:15Z</dcterms:modified>
</cp:coreProperties>
</file>