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CLIFFORD\Desktop\MEUS DOCUMENTOS\PMIBERTIOGA\AMPLIAÇÃO DO CEMITÉRIO MUNICIPAL\LICITAÇÃO - AMPLIAÇÃO DO CEMITÉRIO\"/>
    </mc:Choice>
  </mc:AlternateContent>
  <xr:revisionPtr revIDLastSave="0" documentId="13_ncr:1_{D813D8C3-84CA-412C-8CF0-D12B02631F1F}" xr6:coauthVersionLast="36" xr6:coauthVersionMax="47" xr10:uidLastSave="{00000000-0000-0000-0000-000000000000}"/>
  <bookViews>
    <workbookView xWindow="0" yWindow="0" windowWidth="23040" windowHeight="9060" activeTab="1" xr2:uid="{00000000-000D-0000-FFFF-FFFF00000000}"/>
  </bookViews>
  <sheets>
    <sheet name="COMPOSIÇÃO DE CUSTO" sheetId="8" r:id="rId1"/>
    <sheet name="MEC 01 " sheetId="4" r:id="rId2"/>
    <sheet name="Planilha Orcamentaria" sheetId="1" r:id="rId3"/>
    <sheet name="BDI" sheetId="7" r:id="rId4"/>
    <sheet name="CFF" sheetId="3" r:id="rId5"/>
  </sheets>
  <externalReferences>
    <externalReference r:id="rId6"/>
    <externalReference r:id="rId7"/>
  </externalReferences>
  <definedNames>
    <definedName name="_xlnm.Print_Area" localSheetId="3">BDI!$A$1:$H$59</definedName>
    <definedName name="_xlnm.Print_Area" localSheetId="4">CFF!$A$1:$L$36</definedName>
    <definedName name="_xlnm.Print_Area" localSheetId="0">'COMPOSIÇÃO DE CUSTO'!$A$1:$G$11</definedName>
    <definedName name="_xlnm.Print_Area" localSheetId="1">'MEC 01 '!$A$1:$G$69</definedName>
    <definedName name="_xlnm.Print_Area" localSheetId="2">'Planilha Orcamentaria'!$A$1:$H$122</definedName>
    <definedName name="_xlnm.Database">TEXT([1]Dados!$G$29,"mm-aaaa")</definedName>
    <definedName name="Fonte">#REF!</definedName>
    <definedName name="INSUMOS">#REF!</definedName>
    <definedName name="_xlnm.Print_Titles" localSheetId="1">'MEC 01 '!$1:$4</definedName>
    <definedName name="_xlnm.Print_Titles" localSheetId="2">'Planilha Orcamentaria'!$1:$9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0" roundtripDataSignature="AMtx7mgIdczZT03ACB7Mlr0iQfc+x+AYtw=="/>
    </ext>
  </extLst>
</workbook>
</file>

<file path=xl/calcChain.xml><?xml version="1.0" encoding="utf-8"?>
<calcChain xmlns="http://schemas.openxmlformats.org/spreadsheetml/2006/main">
  <c r="H16" i="1" l="1"/>
  <c r="A4" i="8"/>
  <c r="A3" i="8"/>
  <c r="A2" i="8"/>
  <c r="E7" i="4"/>
  <c r="E20" i="1" s="1"/>
  <c r="E50" i="1"/>
  <c r="E51" i="1"/>
  <c r="E37" i="4"/>
  <c r="G10" i="8"/>
  <c r="G9" i="8"/>
  <c r="G8" i="8"/>
  <c r="G6" i="8" l="1"/>
  <c r="F50" i="1" s="1"/>
  <c r="G50" i="1" s="1"/>
  <c r="H50" i="1" s="1"/>
  <c r="B35" i="3" l="1"/>
  <c r="B34" i="3"/>
  <c r="D34" i="3"/>
  <c r="D61" i="4"/>
  <c r="C66" i="4"/>
  <c r="D35" i="3" s="1"/>
  <c r="C65" i="4"/>
  <c r="C62" i="4"/>
  <c r="C61" i="4"/>
  <c r="B27" i="3"/>
  <c r="B25" i="3"/>
  <c r="B23" i="3"/>
  <c r="B21" i="3"/>
  <c r="B19" i="3"/>
  <c r="B17" i="3"/>
  <c r="B15" i="3"/>
  <c r="B13" i="3"/>
  <c r="B11" i="3"/>
  <c r="B9" i="3"/>
  <c r="B7" i="3"/>
  <c r="I5" i="3"/>
  <c r="I4" i="3"/>
  <c r="D5" i="3"/>
  <c r="A5" i="3"/>
  <c r="A4" i="3"/>
  <c r="D43" i="7"/>
  <c r="C43" i="7"/>
  <c r="D41" i="7"/>
  <c r="D44" i="7" s="1"/>
  <c r="C41" i="7"/>
  <c r="C44" i="7" s="1"/>
  <c r="H12" i="7" s="1"/>
  <c r="A12" i="7"/>
  <c r="F8" i="7"/>
  <c r="A8" i="7"/>
  <c r="G63" i="1"/>
  <c r="G64" i="1"/>
  <c r="G65" i="1"/>
  <c r="G66" i="1"/>
  <c r="G67" i="1"/>
  <c r="G68" i="1"/>
  <c r="G56" i="1"/>
  <c r="G57" i="1"/>
  <c r="G58" i="1"/>
  <c r="G59" i="1"/>
  <c r="G60" i="1"/>
  <c r="G48" i="1"/>
  <c r="G49" i="1"/>
  <c r="G51" i="1"/>
  <c r="G52" i="1"/>
  <c r="G29" i="1"/>
  <c r="G30" i="1"/>
  <c r="G31" i="1"/>
  <c r="G32" i="1"/>
  <c r="G33" i="1"/>
  <c r="G34" i="1"/>
  <c r="G24" i="1"/>
  <c r="G25" i="1"/>
  <c r="E56" i="1"/>
  <c r="E49" i="1"/>
  <c r="E52" i="1"/>
  <c r="E58" i="4"/>
  <c r="E70" i="1" s="1"/>
  <c r="E56" i="4"/>
  <c r="E68" i="1" s="1"/>
  <c r="E54" i="4"/>
  <c r="E66" i="1" s="1"/>
  <c r="E55" i="4"/>
  <c r="E67" i="1" s="1"/>
  <c r="E53" i="4"/>
  <c r="E65" i="1" s="1"/>
  <c r="E52" i="4"/>
  <c r="E64" i="1" s="1"/>
  <c r="E51" i="4"/>
  <c r="E63" i="1" s="1"/>
  <c r="E50" i="4"/>
  <c r="E62" i="1" s="1"/>
  <c r="E48" i="4"/>
  <c r="E60" i="1" s="1"/>
  <c r="E47" i="4"/>
  <c r="E59" i="1" s="1"/>
  <c r="E45" i="4"/>
  <c r="E57" i="1" s="1"/>
  <c r="E46" i="4"/>
  <c r="E58" i="1" s="1"/>
  <c r="E43" i="4"/>
  <c r="E55" i="1" s="1"/>
  <c r="E34" i="4"/>
  <c r="E47" i="1" s="1"/>
  <c r="E35" i="4"/>
  <c r="E38" i="1"/>
  <c r="E23" i="4"/>
  <c r="E27" i="4" s="1"/>
  <c r="E28" i="4" s="1"/>
  <c r="E41" i="1" s="1"/>
  <c r="E21" i="4"/>
  <c r="E34" i="1" s="1"/>
  <c r="E20" i="4"/>
  <c r="E33" i="1" s="1"/>
  <c r="E19" i="4"/>
  <c r="E32" i="1" s="1"/>
  <c r="E18" i="4"/>
  <c r="E31" i="1" s="1"/>
  <c r="E17" i="4"/>
  <c r="E30" i="1" s="1"/>
  <c r="E16" i="4"/>
  <c r="E29" i="1" s="1"/>
  <c r="E15" i="4"/>
  <c r="E28" i="1" s="1"/>
  <c r="E13" i="4"/>
  <c r="E26" i="1" s="1"/>
  <c r="E12" i="4"/>
  <c r="E25" i="1" s="1"/>
  <c r="E10" i="4"/>
  <c r="E11" i="4" s="1"/>
  <c r="E24" i="1" s="1"/>
  <c r="H66" i="1" l="1"/>
  <c r="H67" i="1"/>
  <c r="H34" i="1"/>
  <c r="H30" i="1"/>
  <c r="H63" i="1"/>
  <c r="H32" i="1"/>
  <c r="H24" i="1"/>
  <c r="H25" i="1"/>
  <c r="H60" i="1"/>
  <c r="H56" i="1"/>
  <c r="H57" i="1"/>
  <c r="H58" i="1"/>
  <c r="H31" i="1"/>
  <c r="H51" i="1"/>
  <c r="H59" i="1"/>
  <c r="H65" i="1"/>
  <c r="H29" i="1"/>
  <c r="H33" i="1"/>
  <c r="H49" i="1"/>
  <c r="H68" i="1"/>
  <c r="H64" i="1"/>
  <c r="H52" i="1"/>
  <c r="E30" i="4"/>
  <c r="E43" i="1" s="1"/>
  <c r="E40" i="1"/>
  <c r="E36" i="1"/>
  <c r="E23" i="1"/>
  <c r="G28" i="1"/>
  <c r="A2" i="4"/>
  <c r="H28" i="1" l="1"/>
  <c r="G38" i="1"/>
  <c r="A4" i="4"/>
  <c r="H38" i="1" l="1"/>
  <c r="H37" i="1" s="1"/>
  <c r="D16" i="3" s="1"/>
  <c r="G47" i="1" l="1"/>
  <c r="E48" i="1"/>
  <c r="H48" i="1" s="1"/>
  <c r="D47" i="1"/>
  <c r="H47" i="1" l="1"/>
  <c r="H46" i="1" s="1"/>
  <c r="D22" i="3" s="1"/>
  <c r="H22" i="3" s="1"/>
  <c r="E31" i="4"/>
  <c r="E44" i="1" s="1"/>
  <c r="I31" i="1" l="1"/>
  <c r="I29" i="1" l="1"/>
  <c r="G41" i="1"/>
  <c r="I32" i="1" l="1"/>
  <c r="A3" i="4" l="1"/>
  <c r="H41" i="1" l="1"/>
  <c r="G36" i="1" l="1"/>
  <c r="H36" i="1" s="1"/>
  <c r="H35" i="1" s="1"/>
  <c r="D14" i="3" s="1"/>
  <c r="E14" i="3" s="1"/>
  <c r="G40" i="1"/>
  <c r="H40" i="1" s="1"/>
  <c r="G43" i="1"/>
  <c r="H43" i="1" s="1"/>
  <c r="G44" i="1"/>
  <c r="H44" i="1" s="1"/>
  <c r="G55" i="1"/>
  <c r="H55" i="1" s="1"/>
  <c r="G62" i="1"/>
  <c r="H62" i="1" s="1"/>
  <c r="G70" i="1"/>
  <c r="H70" i="1" s="1"/>
  <c r="H69" i="1" s="1"/>
  <c r="D28" i="3" s="1"/>
  <c r="G23" i="1"/>
  <c r="H23" i="1" s="1"/>
  <c r="G26" i="1"/>
  <c r="H26" i="1" s="1"/>
  <c r="H28" i="3" l="1"/>
  <c r="H61" i="1"/>
  <c r="D26" i="3" s="1"/>
  <c r="H54" i="1"/>
  <c r="D24" i="3" s="1"/>
  <c r="F24" i="3" s="1"/>
  <c r="H27" i="1"/>
  <c r="H42" i="1"/>
  <c r="D20" i="3" s="1"/>
  <c r="H22" i="1"/>
  <c r="H39" i="1"/>
  <c r="D18" i="3" s="1"/>
  <c r="G20" i="1"/>
  <c r="H20" i="1" s="1"/>
  <c r="H19" i="1" s="1"/>
  <c r="D8" i="3" l="1"/>
  <c r="H71" i="1"/>
  <c r="D10" i="3"/>
  <c r="E10" i="3" s="1"/>
  <c r="F26" i="3"/>
  <c r="G26" i="3"/>
  <c r="H26" i="3"/>
  <c r="H30" i="3" s="1"/>
  <c r="D12" i="3"/>
  <c r="F18" i="3"/>
  <c r="G18" i="3"/>
  <c r="F16" i="3"/>
  <c r="G20" i="3"/>
  <c r="F14" i="3"/>
  <c r="G22" i="3"/>
  <c r="D30" i="3" l="1"/>
  <c r="D29" i="3" s="1"/>
  <c r="F30" i="3"/>
  <c r="G30" i="3"/>
  <c r="E12" i="3"/>
  <c r="E8" i="3"/>
  <c r="F29" i="3" l="1"/>
  <c r="G29" i="3"/>
  <c r="H29" i="3"/>
  <c r="E29" i="3"/>
  <c r="E30" i="3"/>
  <c r="M30" i="3" s="1"/>
  <c r="D27" i="3"/>
  <c r="D23" i="3"/>
  <c r="D11" i="3"/>
  <c r="D15" i="3"/>
  <c r="D9" i="3"/>
  <c r="F4" i="3"/>
  <c r="D25" i="3"/>
  <c r="D21" i="3"/>
  <c r="D19" i="3"/>
  <c r="D17" i="3"/>
  <c r="D13" i="3"/>
  <c r="D7" i="3"/>
  <c r="M29" i="3" l="1"/>
</calcChain>
</file>

<file path=xl/sharedStrings.xml><?xml version="1.0" encoding="utf-8"?>
<sst xmlns="http://schemas.openxmlformats.org/spreadsheetml/2006/main" count="539" uniqueCount="273">
  <si>
    <t>PLANILHA ORÇAMENTÁRIA DE CUSTOS</t>
  </si>
  <si>
    <t>(    )</t>
  </si>
  <si>
    <t>DIRETA</t>
  </si>
  <si>
    <t>(  x  )</t>
  </si>
  <si>
    <t>INDIRETA</t>
  </si>
  <si>
    <t>ITEM</t>
  </si>
  <si>
    <t>CÓDIGO</t>
  </si>
  <si>
    <t>DESCRIÇÃO</t>
  </si>
  <si>
    <t>UNIDADE</t>
  </si>
  <si>
    <t>QUANTIDADE</t>
  </si>
  <si>
    <t>PREÇO UNITÁRIO S/ LDI</t>
  </si>
  <si>
    <t>PREÇO UNITÁRIO C/ LDI</t>
  </si>
  <si>
    <t>PREÇO TOTAL</t>
  </si>
  <si>
    <t>IIO-001</t>
  </si>
  <si>
    <t>INSTALAÇÕES INICIAIS DA OBRA</t>
  </si>
  <si>
    <t>1.1</t>
  </si>
  <si>
    <t>2.2</t>
  </si>
  <si>
    <t>3.1</t>
  </si>
  <si>
    <t>M2</t>
  </si>
  <si>
    <t>4.1</t>
  </si>
  <si>
    <t>TOTAL GERAL DA OBRA</t>
  </si>
  <si>
    <t>2.1</t>
  </si>
  <si>
    <t>M3</t>
  </si>
  <si>
    <t>2.3</t>
  </si>
  <si>
    <t>M</t>
  </si>
  <si>
    <t>FORMA DE EXECUÇÃO:</t>
  </si>
  <si>
    <t>APILOAMENTO DO FUNDO DE VALAS COM SOQUETE</t>
  </si>
  <si>
    <t>3.2</t>
  </si>
  <si>
    <t>CORTE, DOBRA E ARMAÇÃO DE AÇO CA-50/60</t>
  </si>
  <si>
    <t>KG</t>
  </si>
  <si>
    <t>3.3</t>
  </si>
  <si>
    <t>5.1</t>
  </si>
  <si>
    <t>5.2</t>
  </si>
  <si>
    <t>6.1</t>
  </si>
  <si>
    <t>6.2</t>
  </si>
  <si>
    <t>7.1</t>
  </si>
  <si>
    <t>7.2</t>
  </si>
  <si>
    <t>9.1</t>
  </si>
  <si>
    <t>10.1</t>
  </si>
  <si>
    <t>10.2</t>
  </si>
  <si>
    <t>10.3</t>
  </si>
  <si>
    <t>PINTURA</t>
  </si>
  <si>
    <t>LIM-001</t>
  </si>
  <si>
    <t>LIMPEZA GERAL</t>
  </si>
  <si>
    <t>TERRAPLENAGEM/TRABALHOS EM TERRA</t>
  </si>
  <si>
    <t xml:space="preserve">LASTRO DE CONCRETO MAGRO, INCLUSIVE TRANSPORTE, LANÇAMENTO E ADENSAMENTO </t>
  </si>
  <si>
    <t>FORNECIMENTO DE CONCRETO ESTRUTURAL, PREPARADO EM OBRA COM BETONEIRA, COM FCK 20 MPA, INCLUSIVE LANÇAMENTO, ADENSAMENTO E ACABAMENTO (FUNDAÇÃO)</t>
  </si>
  <si>
    <t>FORMA E DESFORMA DE TÁBUA E SARRAFO, REAPROVEITAMENTO (3X), EXCLUSIVE ESCORAMENTO</t>
  </si>
  <si>
    <t>LIMPEZA FINAL PARA ENTREGA DA OBRA</t>
  </si>
  <si>
    <t>UNID.</t>
  </si>
  <si>
    <t>QUANT.</t>
  </si>
  <si>
    <t>FÓRMULA/MEMÓRIA</t>
  </si>
  <si>
    <t>CRONOGRAMA FÍSICO-FINANCEIRO</t>
  </si>
  <si>
    <t>VALOR :</t>
  </si>
  <si>
    <t>ETAPAS/DESCRIÇÃO</t>
  </si>
  <si>
    <t>FÍSICO/ FINANCEIRO</t>
  </si>
  <si>
    <t>TOTAL  ETAPAS</t>
  </si>
  <si>
    <t>MÊS 1</t>
  </si>
  <si>
    <t>MÊS 2</t>
  </si>
  <si>
    <t>Físico %</t>
  </si>
  <si>
    <t>Financeiro</t>
  </si>
  <si>
    <t>TOTAL</t>
  </si>
  <si>
    <t>MÊS 3</t>
  </si>
  <si>
    <t>MÊS 4</t>
  </si>
  <si>
    <t>MÊS 5</t>
  </si>
  <si>
    <t>MÊS 6</t>
  </si>
  <si>
    <t>MÊS 7</t>
  </si>
  <si>
    <t>MÊS 8</t>
  </si>
  <si>
    <t>FUNDAÇÕES</t>
  </si>
  <si>
    <t>3.4</t>
  </si>
  <si>
    <t>COMPOSIÇÕES DE CUSTO - NÃO DESONERADO</t>
  </si>
  <si>
    <t>DESCRIÇÃO DO SERVIÇO OU FORNECIMENTO</t>
  </si>
  <si>
    <t>DATA BASE</t>
  </si>
  <si>
    <t>FONTE</t>
  </si>
  <si>
    <t>PREÇO REFERENCIAL</t>
  </si>
  <si>
    <t>COMP. 01</t>
  </si>
  <si>
    <t>SETOP</t>
  </si>
  <si>
    <t>DESCRIÇÃO DO INSUMO</t>
  </si>
  <si>
    <t>COEFICIENTE</t>
  </si>
  <si>
    <t>CUSTO UNITÁRIO</t>
  </si>
  <si>
    <t>CUSTO TOTAL</t>
  </si>
  <si>
    <t>SETOP/SINAPI</t>
  </si>
  <si>
    <t>H</t>
  </si>
  <si>
    <t>PEDREIRO COM ENCARGOS COMPLEMENTARES</t>
  </si>
  <si>
    <t>SERVENTE COM ENCARGOS COMPLEMENTARES</t>
  </si>
  <si>
    <t>ED-51107</t>
  </si>
  <si>
    <t>ED-51093</t>
  </si>
  <si>
    <t>ED-49643</t>
  </si>
  <si>
    <t>ED-49812</t>
  </si>
  <si>
    <t>ED-48298</t>
  </si>
  <si>
    <t>ED-49786</t>
  </si>
  <si>
    <t>ED-50727</t>
  </si>
  <si>
    <t>ED-50266</t>
  </si>
  <si>
    <t xml:space="preserve">ED-50381 </t>
  </si>
  <si>
    <t xml:space="preserve">ED-50367 </t>
  </si>
  <si>
    <t>ISS :</t>
  </si>
  <si>
    <t>BDI :</t>
  </si>
  <si>
    <t>9.2</t>
  </si>
  <si>
    <t>UNID</t>
  </si>
  <si>
    <t>PROPONENTE: PREFEITURA MUNICIPAL DE IBERTIOGA</t>
  </si>
  <si>
    <t>LOCAL: CEMITÉRIO MUNICIPAL DE IBERTIOGA</t>
  </si>
  <si>
    <t>OSSÁRIOS TIPO GAVETAS</t>
  </si>
  <si>
    <t>ESCAVAÇÃO MANUAL DE TERRA (DESATERRO MANUAL)</t>
  </si>
  <si>
    <t xml:space="preserve">ED-51110 </t>
  </si>
  <si>
    <t>ATERRO COMPACTADO COM PLACA VIBRATÓRIA</t>
  </si>
  <si>
    <t>ED-51096</t>
  </si>
  <si>
    <t>ESCAVAÇÃO MANUAL DE VALA COM PROFUNDIDADE MENOR OU IGUAL A 1,5M</t>
  </si>
  <si>
    <t>2.4</t>
  </si>
  <si>
    <t>PERFURAÇÃO DE ESTACA BROCA A TRADO MANUAL D = 150 MM</t>
  </si>
  <si>
    <t>ED-49746</t>
  </si>
  <si>
    <t>ARMADURA DE TELA DE AÇO CA-60 B SOLDADA TIPO Q-138 ( DIÂMETRO DO FIO: 4,20 MM / DIMENSÕES DA TRAMA: 100 X 100 MM / TIPO DA MALHA: QUADRANGULAR )</t>
  </si>
  <si>
    <t>ED-48299</t>
  </si>
  <si>
    <t>2,40 KG/M2</t>
  </si>
  <si>
    <t>CONCRETAGEM DE RADIER, PISO DE CONCRETO OU LAJE SOBRE SOLO, FCK 30 MPA- LANÇAMENTO, ADENSAMENTO E ACABAMENTO. AF_09/2021</t>
  </si>
  <si>
    <t>ALVENARIA E VEDAÇÕES</t>
  </si>
  <si>
    <t>ALVENARIA DE VEDAÇÃO COM BLOCO DE CONCRETO, ESP. 9CM, PARA REVESTIMENTO, INCLUSIVE ARGAMASSA PARA ASSENTAMENTO</t>
  </si>
  <si>
    <t>ED-48191</t>
  </si>
  <si>
    <t>COBERTURA (LAJE)</t>
  </si>
  <si>
    <t>LAJE PRÉ-MOLDADA, A REVESTIR, INCLUSIVE CAPEAMENTO E = 4 CM, SC = 100 KG/M2, L = 3,00 M</t>
  </si>
  <si>
    <t>ED-50252</t>
  </si>
  <si>
    <t>REVESTIMENTOS</t>
  </si>
  <si>
    <t>MASSA ÚNICA, PARA RECEBIMENTO DE PINTURA, EM ARGAMASSA TRAÇO 1:2:8, PREPARO MECÂNICO COM BETONEIRA 400L, APLICADA MANUALMENTE EM FACES INTERNAS DE PAREDES, ESPESSURA DE 20MM, COM EXECUÇÃO DE TALISCAS. AF_06/2014</t>
  </si>
  <si>
    <t>CHAPISCO COM ARGAMASSA, TRAÇO 1:3 (CIMENTO E AREIA), ESP . 5MM, APLICADO EM ALVENARIA/ESTRUTURA DE CONCRETO COM COLHER, PREPARO MECÂNICO</t>
  </si>
  <si>
    <t>APLICAÇÃO DE FUNDO SELADOR ACRÍLICO EM PAREDES, UMA DEMÃO. AF_06/2014</t>
  </si>
  <si>
    <t>APLICAÇÃO MANUAL DE PINTURA COM TINTA LÁTEX ACRÍLICA EM PAREDES, DUAS DEMÃOS. AF_06/2014</t>
  </si>
  <si>
    <t>PARCELAMENTO</t>
  </si>
  <si>
    <t>ASSENTAMENTO DE GUIA (MEIO-FIO) EM TRECHO RETO, CONFECCIONADA EM CONCRTO PRÉ-FABRICADO, DIMENSÕES 80X08X08X25 CM (COMPRIMENTO X BASE INFERIOR X BASE SUPERIOR X ALTURA), PARA URBANIZAÇÃO INTERNA DE EMPREENDIMENTOS. AF_06/2016</t>
  </si>
  <si>
    <t>EXECUÇÃO DE PAVIMENTO EM PISO INTERTRAVADO, COM BLOCO SEXTAVADO DE 25 X 25 CM, ESPESSURA 6 CM. AF_12/2015</t>
  </si>
  <si>
    <t>(COMP X LARG. ALTURA) 5,35 X 2,30 X 0,60 (ÁREA OSSÁRIO)</t>
  </si>
  <si>
    <t xml:space="preserve">BALDRAMES = 10,30 X 0,30 X 0,15 X 2 + 0,70X 0,30X 0,15 X 4 </t>
  </si>
  <si>
    <t xml:space="preserve">BALDRAMES = 10,30  X 0,15 X 2 + 0,70X 0,15 X 4 </t>
  </si>
  <si>
    <t>CONFORME PROJETO= 2,0 X 4 + 1,0 X 4</t>
  </si>
  <si>
    <t>BALDRAMES = (10,30 X 0,30 X 2)X2 + (0,70X 0,30 X 2)X4</t>
  </si>
  <si>
    <t xml:space="preserve">RADIER E  (BALDRAME)= (10,30 X 0,15 X 0,05) X 2 + (0,70 X 0,15 X 0,05)X 4 + (9,70 X 0,70 X 0,05) </t>
  </si>
  <si>
    <t>ESTRIBROS broca= 12/ 0,15 = 80 estribo viga = 23,4/0,15 = 156</t>
  </si>
  <si>
    <r>
      <t xml:space="preserve">BROCA = 4 </t>
    </r>
    <r>
      <rPr>
        <sz val="8"/>
        <color rgb="FF010000"/>
        <rFont val="GreekS"/>
      </rPr>
      <t>∅</t>
    </r>
    <r>
      <rPr>
        <sz val="8"/>
        <color rgb="FF010000"/>
        <rFont val="Century Gothic"/>
        <family val="2"/>
      </rPr>
      <t xml:space="preserve"> 8.0mm X 12m X 0,395 kg/m + 0,40m X 80 (QTIDADE) X 0,154kg/m (∅ 5.0mm)(Estribo) + BALDRAME = 4 ∅ 8 X (10,30 X 2 + 0,70 X 4) X 0,395Kg/m + 0,75m*156m + 0,154 kg/m (∅ 5.0mm) </t>
    </r>
  </si>
  <si>
    <r>
      <t xml:space="preserve">BROCA = </t>
    </r>
    <r>
      <rPr>
        <sz val="8"/>
        <color rgb="FF010000"/>
        <rFont val="Calibri"/>
        <family val="2"/>
      </rPr>
      <t>π</t>
    </r>
    <r>
      <rPr>
        <sz val="8"/>
        <color rgb="FF010000"/>
        <rFont val="Century Gothic"/>
        <family val="2"/>
      </rPr>
      <t xml:space="preserve"> X 0,075² *12 + BALDRAME (10,3 X 2 + 0,70 X 4 ) X 0,15 X 0,30</t>
    </r>
  </si>
  <si>
    <t>TELA = 2,20KG/M2, RADIER = (10,30 X 0,70 )m X 2,20 Kg =15,86</t>
  </si>
  <si>
    <t>ESPESSURA 10CM = (10,30 X 0,70 X 0,1)</t>
  </si>
  <si>
    <t xml:space="preserve">ED-48191 </t>
  </si>
  <si>
    <t>3.5</t>
  </si>
  <si>
    <t>3.6</t>
  </si>
  <si>
    <t>3.7</t>
  </si>
  <si>
    <t>18 X (0,50 X 0,80) X 4 ALVENARIA VEDAÇÃO = QUANTIDADE X ÁREAS X N FILEIRAS</t>
  </si>
  <si>
    <t>ÁREA RETIRADA DO AUTOCAD = 10,30</t>
  </si>
  <si>
    <t>=ITEM 4.1 X 2 + (FACHADA FRONTAL (2,50X10,30) - (0,50X0,50)X17X4)</t>
  </si>
  <si>
    <t>=ITEM6.1</t>
  </si>
  <si>
    <t>=ITEM 6.1</t>
  </si>
  <si>
    <t>CONFORME PROJETO (ALAMEDAS)= (10,30 + 49,36 + 9,80 + 36,90)X 2</t>
  </si>
  <si>
    <t>CONFORME PROJETO ALAMEDAS= (49,36 + 9,80 + 36,90)X2,00 + 10,30 X 1</t>
  </si>
  <si>
    <t>FORNECIMENTO E ASSENTAMENTO DE TUBO PVC RÍGIDO, COLETOR DE DRENAGEM (JEI), DN 200 MM (8"), INCLUSIVE CONEXÕES</t>
  </si>
  <si>
    <t xml:space="preserve">ED-50107 </t>
  </si>
  <si>
    <t>CONFORME PROJETO =4,50 + 11,50 + 9,40 + 4,05</t>
  </si>
  <si>
    <t>CAIXA DE DRENAGEM DE INSPEÇÃO/PASSAGEM EM ALVENARIA ( 30X30X60CM), REVESTIMENTO EM ARGAMASSA COM ADITIVO IMPERMEABILIZANTE, COM TAMPA EM GRELHA, INCLUSIVE ESCAVAÇÃO, REATERRO E TRANSPORTE E RETIRADA DO MATERIAL ESCAVADO (EM CAÇAMBA)</t>
  </si>
  <si>
    <t>ED-49907</t>
  </si>
  <si>
    <t>CONFORME PROJETO</t>
  </si>
  <si>
    <t>MURO CONTENÇÃO</t>
  </si>
  <si>
    <t>ED-50274</t>
  </si>
  <si>
    <t>LOCAÇÃO TOPOGRÁFICA PARA ATÉ VINTE (20) PONTOS REFERENCIAIS, INCLUSIVE ESTACA (PIQUETE) DE MARCAÇÃO.</t>
  </si>
  <si>
    <t>MARCAÇÃO REFERENCIAL DO PARCELAMENTO</t>
  </si>
  <si>
    <t>9.3</t>
  </si>
  <si>
    <t>9.4</t>
  </si>
  <si>
    <t>9.5</t>
  </si>
  <si>
    <t>BALDRAMES = (37,65+3,00)X0,30X0,20</t>
  </si>
  <si>
    <t>BALDRAMES = (37,65+3,00)X0,30X0,05</t>
  </si>
  <si>
    <t>(37,65X0,30+ 3,00X0,30)X2 (BALDRAME)</t>
  </si>
  <si>
    <t xml:space="preserve">BROCA = 4 ∅ 8.0mm X 15m X 0,395 kg/m + 0,40m X (7X12) (QTIDADE) X 0,154kg/m (∅ 5.0mm)(Estribo) + BALDRAME(ANEXO A MC) = (72,38+38,48) </t>
  </si>
  <si>
    <r>
      <t xml:space="preserve">BROCA = </t>
    </r>
    <r>
      <rPr>
        <sz val="8"/>
        <color rgb="FF010000"/>
        <rFont val="Calibri"/>
        <family val="2"/>
      </rPr>
      <t>π</t>
    </r>
    <r>
      <rPr>
        <sz val="8"/>
        <color rgb="FF010000"/>
        <rFont val="Century Gothic"/>
        <family val="2"/>
      </rPr>
      <t xml:space="preserve"> X 0,1² *15 + BALDRAME (37,65+3,00 ) X 0,20 X 0,30</t>
    </r>
  </si>
  <si>
    <t>PILARES=(0,2+0,15+0,2+0,15)X(1,0+1,13+1,20+1,23+1,27+1,33)X2+(0,2+0,15+0,2+0,15)X1,40</t>
  </si>
  <si>
    <t>VIGA RESPALDO + PILARES = (72,40+38,48)+(28,77+11,22)&gt; DE ACORDO ANEXO A MC</t>
  </si>
  <si>
    <t xml:space="preserve">FORNECIMENTO DE CONCRETO ESTRUTURAL, PREPARADO EM OBRA COM BETONEIRA, COM FCK 20 MPA, INCLUSIVE LANÇAMENTO, ADENSAMENTO E ACABAMENTO </t>
  </si>
  <si>
    <t>PILARES=(0,2X0,15)X(1,0+1,13+1,20+1,23+1,27+1,33)X2+(0,2X0,15)X1,40 + VIGA=(37,65+3,0)X0,30X0,20</t>
  </si>
  <si>
    <t>ED-48390</t>
  </si>
  <si>
    <t>10.4</t>
  </si>
  <si>
    <t>VIGA RESPALDO = 37,65+3,0</t>
  </si>
  <si>
    <t>ALVENARIA DE VEDAÇÃO COM BLOCO DE CONCRETO, ESP. 19CM, COM ACABAMENTO APARENTE, INCLUSIVE ARGAMASSA PARA ASSENTAMENTO</t>
  </si>
  <si>
    <t>ED-48196</t>
  </si>
  <si>
    <t>10.5</t>
  </si>
  <si>
    <t>=(2,07+3,24+3,38+3,49+3,52+3,62)X2-((37,65+3,0)X(0,30)) = AREA RETIRADA AUTOCAD - AREA VIGA RESPALDO</t>
  </si>
  <si>
    <t>10.6</t>
  </si>
  <si>
    <t>10.7</t>
  </si>
  <si>
    <t>22,72X2= AREA RETIRADA DO AUTOCAD</t>
  </si>
  <si>
    <t>11.1</t>
  </si>
  <si>
    <t>202,42+66,35+45,44 &gt; ÁREA DA CONSTRUÇÃO</t>
  </si>
  <si>
    <t>8.1</t>
  </si>
  <si>
    <t>8.2</t>
  </si>
  <si>
    <t>8.3</t>
  </si>
  <si>
    <t>8.4</t>
  </si>
  <si>
    <t>8.5</t>
  </si>
  <si>
    <t>9.6</t>
  </si>
  <si>
    <t>SUPERESTRUTURA, ALVENARIA E REVESTIMENTO</t>
  </si>
  <si>
    <t>ED-49747</t>
  </si>
  <si>
    <t>PERFURAÇÃO DE ESTACA BROCA A TRADO MANUAL D = 200 MM</t>
  </si>
  <si>
    <t>CINTA DE AMARRAÇÃO DE ALVENARIA COM BLOCO DE
CONCRETO ESTRUTURAL, CANALETA TIPO "U", ESP. 19CM, (FBK 4,5MPA), PARA REVESTIMENTO, INCLUSIVE ARGAMASSA PARA
ASSENTAMENTO, EXCLUSIVE GRAUTE E ARMAÇÃO</t>
  </si>
  <si>
    <t>CINTA DE AMARRAÇÃO DE ALVENARIA COM BLOCO DE CONCRETO ESTRUTURAL, CANALETA TIPO "U", ESP. 19CM, (FBK 4,5MPA), PARA REVESTIMENTO, INCLUSIVE ARGAMASSA PARA
ASSENTAMENTO, EXCLUSIVE GRAUTE E ARMAÇÃO</t>
  </si>
  <si>
    <t xml:space="preserve">FORMA DE EXECUÇÃO: </t>
  </si>
  <si>
    <t>( X )</t>
  </si>
  <si>
    <t>BDI</t>
  </si>
  <si>
    <t>DEMONSTRATIVO DO BDI - COM DESONERAÇÃO</t>
  </si>
  <si>
    <t>BDI (CONFORME ACÓRDÃO Nº 2622/13 e LEI Nº 13.161 DE 31/08/15)</t>
  </si>
  <si>
    <t>CONSTRUÇÃO DE EDIFÍCIOS</t>
  </si>
  <si>
    <t>(ISS = 3%)</t>
  </si>
  <si>
    <t>MATERIAL</t>
  </si>
  <si>
    <t>INCIDÊNCIA</t>
  </si>
  <si>
    <t>CUSTO DIRETO</t>
  </si>
  <si>
    <t>CD</t>
  </si>
  <si>
    <t>ADMINISTRAÇÃO CENTRAL</t>
  </si>
  <si>
    <t>AC</t>
  </si>
  <si>
    <t>LUCRO</t>
  </si>
  <si>
    <t>L</t>
  </si>
  <si>
    <t>DESPESAS FINANCEIRAS</t>
  </si>
  <si>
    <t>DF</t>
  </si>
  <si>
    <t>SEGUROS, GARANTIAS E RISCO</t>
  </si>
  <si>
    <t>SEGUROS + GARANTIAS</t>
  </si>
  <si>
    <t>S</t>
  </si>
  <si>
    <t>RISCO(*)</t>
  </si>
  <si>
    <t>R</t>
  </si>
  <si>
    <t>TRIBUTOS</t>
  </si>
  <si>
    <t>I</t>
  </si>
  <si>
    <t>PV</t>
  </si>
  <si>
    <t>ISS</t>
  </si>
  <si>
    <t>-</t>
  </si>
  <si>
    <t>PIS</t>
  </si>
  <si>
    <t>COFINS</t>
  </si>
  <si>
    <t>CPRB</t>
  </si>
  <si>
    <t>INSS</t>
  </si>
  <si>
    <t>FÓRMULA DO BDI</t>
  </si>
  <si>
    <t>BDI      =</t>
  </si>
  <si>
    <t>(1 + (AC + S + G + R)) x (1 + DF) x  (1 + L)</t>
  </si>
  <si>
    <t>(1 - (I + CPRB))</t>
  </si>
  <si>
    <t>BDI(NUMERADOR)</t>
  </si>
  <si>
    <t>BDI(DENOMINADOR)</t>
  </si>
  <si>
    <t xml:space="preserve">OBJETO: AMPLIAÇÃO DO CEMITERIO E CONSTRUÇÃO DE OSSÁRIO </t>
  </si>
  <si>
    <t>LOCAL: CEMITÉRIO MUNICIPAL</t>
  </si>
  <si>
    <t>DATA:21/12/2022</t>
  </si>
  <si>
    <t>DATA: 21/12/2022</t>
  </si>
  <si>
    <t>SUPERESTRUTURA, ALVENARIA E REVESTIMENTO (MURO)</t>
  </si>
  <si>
    <t>FUNDAÇÕES (MURO)</t>
  </si>
  <si>
    <t>PRAZO DE EXECUÇÃO: 04 MESES</t>
  </si>
  <si>
    <t xml:space="preserve">LOCAÇÃO TOPOGRÁFICA PARA ATÉ VINTE (20) PONTOS REFERENCIAIS, INCLUSIVE ESTACA (PIQUETE) DE MARCAÇÃO. </t>
  </si>
  <si>
    <t>PAVIMENTAÇÃO (ALAMEDAS) -PARCELAMENTO</t>
  </si>
  <si>
    <t>PAVIMENTAÇÃO (ALAMEDAS) - PARCELAMENTO</t>
  </si>
  <si>
    <t>FORNECIMENTO E ASSENTAMENTO DE PIQUETE (ESTACA) DE 30CM DE ALTURA -MARCAÇÃO DOS VERTICES DOS TUMULOS</t>
  </si>
  <si>
    <t>MATED11349</t>
  </si>
  <si>
    <t>SARRAFO (ACABAMENTO: BRUTO|SEÇÃOTRANSVERSAL: 1"X4"[POL.]|ALTURA: 100MM[4"]| ESPESSURA: 25MM[1"]|TIPO
DE MADEIRA: CEDRO,MAÇARANDUBA, ANGELIM,PINUS, MISTA OU
EQUIVALENTE DA REGIÃO)</t>
  </si>
  <si>
    <t>8.6</t>
  </si>
  <si>
    <t xml:space="preserve">4 X 116 = 4 VERTICES X 116 TUMULOS. </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</si>
  <si>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</si>
  <si>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</si>
  <si>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2,40X1,20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</si>
  <si>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</si>
  <si>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FONTE DE RECURSO: PRÓPRIO</t>
  </si>
  <si>
    <t xml:space="preserve">REGIÃO/MÊS DE REFERÊNCIA: SEINFRA REGIÃO SUL OUTUBRO /2022 E SINAPI OUTUBRO /2022 PREÇO DE CUSTO COM DESONERAÇÃO </t>
  </si>
  <si>
    <t xml:space="preserve">ANEXO </t>
  </si>
  <si>
    <t xml:space="preserve">R.T </t>
  </si>
  <si>
    <t xml:space="preserve">A N E X O   </t>
  </si>
  <si>
    <t>MEMÓRIA DE CÁLCULO</t>
  </si>
  <si>
    <t>NOME EMPRESA</t>
  </si>
  <si>
    <t>CNPJ Nº:</t>
  </si>
  <si>
    <t>Endereço:</t>
  </si>
  <si>
    <t>TEL:  E-MAIL:</t>
  </si>
  <si>
    <t>ENGENHEIRO</t>
  </si>
  <si>
    <t>R. T. EMPRESA</t>
  </si>
  <si>
    <t>EMPRESA</t>
  </si>
  <si>
    <t>REPRESENTANTE EMPRESA</t>
  </si>
  <si>
    <t xml:space="preserve">CREAMG Nº </t>
  </si>
  <si>
    <t>CNPJ:</t>
  </si>
  <si>
    <t>ENDEREÇO</t>
  </si>
  <si>
    <t xml:space="preserve">TEL: </t>
  </si>
  <si>
    <t>SITE:</t>
  </si>
  <si>
    <t>R.T:</t>
  </si>
  <si>
    <t>R.T EMPRESA</t>
  </si>
  <si>
    <t>CREA Nº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</si>
</sst>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R$&quot;\ * #,##0.00_-;\-&quot;R$&quot;\ * #,##0.00_-;_-&quot;R$&quot;\ * &quot;-&quot;??_-;_-@_-"/>
    <numFmt numFmtId="165" formatCode="&quot;R$&quot;\ #,##0.00"/>
    <numFmt numFmtId="166" formatCode="&quot;R$ &quot;#,##0.00"/>
    <numFmt numFmtId="167" formatCode="0.000000"/>
    <numFmt numFmtId="168" formatCode="_(* #,##0.00_);_(* \(#,##0.00\);_(* &quot;-&quot;??_);_(@_)"/>
  </numFmts>
  <fonts count="41" x14ac:knownFonts="1">
    <font>
      <sz val="10"/>
      <color rgb="FF00000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color rgb="FF000000"/>
      <name val="Arial"/>
      <family val="2"/>
    </font>
    <font>
      <b/>
      <sz val="8"/>
      <color rgb="FF000000"/>
      <name val="Arial"/>
      <family val="2"/>
    </font>
    <font>
      <sz val="8"/>
      <color rgb="FF000000"/>
      <name val="Arial"/>
      <family val="2"/>
    </font>
    <font>
      <b/>
      <sz val="10"/>
      <name val="Arial"/>
      <family val="2"/>
    </font>
    <font>
      <sz val="8"/>
      <color rgb="FF010000"/>
      <name val="Century Gothic"/>
      <family val="2"/>
    </font>
    <font>
      <sz val="8"/>
      <color rgb="FF010000"/>
      <name val="Arial"/>
      <family val="2"/>
    </font>
    <font>
      <sz val="8"/>
      <name val="Arial"/>
      <family val="2"/>
    </font>
    <font>
      <sz val="10"/>
      <name val="Arial"/>
    </font>
    <font>
      <b/>
      <sz val="16"/>
      <color indexed="8"/>
      <name val="Calibri"/>
      <family val="2"/>
      <scheme val="minor"/>
    </font>
    <font>
      <b/>
      <sz val="10"/>
      <color theme="1"/>
      <name val="Calibri"/>
      <family val="2"/>
      <scheme val="minor"/>
    </font>
    <font>
      <b/>
      <sz val="12"/>
      <color theme="1"/>
      <name val="Calibri"/>
      <family val="2"/>
      <scheme val="minor"/>
    </font>
    <font>
      <b/>
      <sz val="12"/>
      <name val="Arial"/>
      <family val="2"/>
    </font>
    <font>
      <sz val="9"/>
      <color indexed="8"/>
      <name val="Arial"/>
      <family val="2"/>
    </font>
    <font>
      <b/>
      <sz val="9"/>
      <color indexed="12"/>
      <name val="Arial"/>
      <family val="2"/>
    </font>
    <font>
      <b/>
      <sz val="9"/>
      <color indexed="8"/>
      <name val="Arial"/>
      <family val="2"/>
    </font>
    <font>
      <b/>
      <sz val="9"/>
      <name val="Arial"/>
      <family val="2"/>
    </font>
    <font>
      <sz val="9"/>
      <name val="Arial"/>
      <family val="2"/>
    </font>
    <font>
      <b/>
      <sz val="12"/>
      <name val="Calibri"/>
      <family val="2"/>
      <scheme val="minor"/>
    </font>
    <font>
      <sz val="10"/>
      <color rgb="FFFF0000"/>
      <name val="Arial"/>
      <family val="2"/>
    </font>
    <font>
      <sz val="10"/>
      <color rgb="FF000000"/>
      <name val="Arial"/>
    </font>
    <font>
      <b/>
      <sz val="8"/>
      <name val="Calibri"/>
      <family val="2"/>
    </font>
    <font>
      <sz val="8"/>
      <name val="Arial"/>
    </font>
    <font>
      <sz val="8"/>
      <color rgb="FF010000"/>
      <name val="GreekS"/>
    </font>
    <font>
      <sz val="8"/>
      <color rgb="FF010000"/>
      <name val="Calibri"/>
      <family val="2"/>
    </font>
    <font>
      <sz val="10"/>
      <name val="Calibri"/>
      <family val="2"/>
      <scheme val="minor"/>
    </font>
    <font>
      <b/>
      <sz val="20"/>
      <name val="Calibri"/>
      <family val="2"/>
      <scheme val="minor"/>
    </font>
    <font>
      <b/>
      <sz val="10"/>
      <name val="Calibri"/>
      <family val="2"/>
      <scheme val="minor"/>
    </font>
    <font>
      <b/>
      <sz val="16"/>
      <name val="Calibri"/>
      <family val="2"/>
      <scheme val="minor"/>
    </font>
    <font>
      <sz val="12"/>
      <name val="Calibri"/>
      <family val="2"/>
      <scheme val="minor"/>
    </font>
    <font>
      <sz val="10"/>
      <color indexed="8"/>
      <name val="Calibri"/>
      <family val="2"/>
      <scheme val="minor"/>
    </font>
    <font>
      <sz val="8"/>
      <color indexed="8"/>
      <name val="Calibri"/>
      <family val="2"/>
      <scheme val="minor"/>
    </font>
    <font>
      <sz val="18"/>
      <color rgb="FF000000"/>
      <name val="Arial"/>
      <family val="2"/>
    </font>
    <font>
      <sz val="10"/>
      <color rgb="FF000000"/>
      <name val="Arial"/>
      <family val="2"/>
    </font>
    <font>
      <b/>
      <sz val="18"/>
      <color rgb="FF000000"/>
      <name val="Calibri"/>
      <family val="2"/>
    </font>
    <font>
      <b/>
      <sz val="8"/>
      <color rgb="FF000000"/>
      <name val="Calibri"/>
      <family val="2"/>
    </font>
    <font>
      <sz val="8"/>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
      <patternFill patternType="solid">
        <fgColor rgb="FFFFFF99"/>
        <bgColor rgb="FF000000"/>
      </patternFill>
    </fill>
  </fills>
  <borders count="113">
    <border>
      <left/>
      <right/>
      <top/>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rgb="FF010000"/>
      </top>
      <bottom style="thin">
        <color rgb="FF01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hair">
        <color rgb="FF000000"/>
      </left>
      <right style="hair">
        <color rgb="FF000000"/>
      </right>
      <top/>
      <bottom/>
      <diagonal/>
    </border>
    <border>
      <left style="hair">
        <color rgb="FF000000"/>
      </left>
      <right/>
      <top/>
      <bottom/>
      <diagonal/>
    </border>
    <border>
      <left style="thin">
        <color indexed="64"/>
      </left>
      <right style="thin">
        <color indexed="64"/>
      </right>
      <top/>
      <bottom/>
      <diagonal/>
    </border>
    <border>
      <left style="thin">
        <color rgb="FF000000"/>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top/>
      <bottom style="thin">
        <color indexed="64"/>
      </bottom>
      <diagonal/>
    </border>
    <border>
      <left/>
      <right style="thin">
        <color indexed="64"/>
      </right>
      <top/>
      <bottom/>
      <diagonal/>
    </border>
    <border>
      <left/>
      <right style="medium">
        <color indexed="64"/>
      </right>
      <top style="medium">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rgb="FF010000"/>
      </bottom>
      <diagonal/>
    </border>
    <border>
      <left style="thin">
        <color indexed="64"/>
      </left>
      <right style="medium">
        <color indexed="64"/>
      </right>
      <top style="hair">
        <color indexed="64"/>
      </top>
      <bottom style="medium">
        <color indexed="64"/>
      </bottom>
      <diagonal/>
    </border>
    <border>
      <left/>
      <right/>
      <top style="thin">
        <color rgb="FF000000"/>
      </top>
      <bottom/>
      <diagonal/>
    </border>
    <border>
      <left/>
      <right style="thin">
        <color rgb="FF000000"/>
      </right>
      <top/>
      <bottom style="medium">
        <color indexed="64"/>
      </bottom>
      <diagonal/>
    </border>
    <border>
      <left/>
      <right/>
      <top style="thin">
        <color rgb="FF000000"/>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rgb="FF000000"/>
      </bottom>
      <diagonal/>
    </border>
    <border>
      <left/>
      <right style="thin">
        <color indexed="64"/>
      </right>
      <top/>
      <bottom style="medium">
        <color rgb="FF000000"/>
      </bottom>
      <diagonal/>
    </border>
    <border>
      <left style="thin">
        <color indexed="64"/>
      </left>
      <right/>
      <top style="medium">
        <color rgb="FF000000"/>
      </top>
      <bottom/>
      <diagonal/>
    </border>
    <border>
      <left/>
      <right style="thin">
        <color indexed="64"/>
      </right>
      <top style="medium">
        <color rgb="FF000000"/>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rgb="FF000000"/>
      </top>
      <bottom style="medium">
        <color rgb="FF000000"/>
      </bottom>
      <diagonal/>
    </border>
    <border>
      <left/>
      <right style="thin">
        <color indexed="64"/>
      </right>
      <top style="medium">
        <color rgb="FF000000"/>
      </top>
      <bottom style="medium">
        <color rgb="FF000000"/>
      </bottom>
      <diagonal/>
    </border>
    <border>
      <left style="thin">
        <color indexed="64"/>
      </left>
      <right/>
      <top style="medium">
        <color rgb="FF000000"/>
      </top>
      <bottom style="thin">
        <color rgb="FF000000"/>
      </bottom>
      <diagonal/>
    </border>
    <border>
      <left/>
      <right style="thin">
        <color indexed="64"/>
      </right>
      <top style="medium">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medium">
        <color indexed="64"/>
      </bottom>
      <diagonal/>
    </border>
    <border>
      <left/>
      <right style="thin">
        <color indexed="64"/>
      </right>
      <top style="thin">
        <color rgb="FF000000"/>
      </top>
      <bottom style="medium">
        <color indexed="64"/>
      </bottom>
      <diagonal/>
    </border>
    <border>
      <left style="thin">
        <color indexed="64"/>
      </left>
      <right style="thin">
        <color rgb="FF000000"/>
      </right>
      <top style="medium">
        <color indexed="64"/>
      </top>
      <bottom style="medium">
        <color indexed="64"/>
      </bottom>
      <diagonal/>
    </border>
    <border>
      <left style="thin">
        <color rgb="FF000000"/>
      </left>
      <right style="thin">
        <color indexed="64"/>
      </right>
      <top style="medium">
        <color indexed="64"/>
      </top>
      <bottom style="medium">
        <color indexed="64"/>
      </bottom>
      <diagonal/>
    </border>
    <border>
      <left style="thin">
        <color indexed="64"/>
      </left>
      <right style="hair">
        <color rgb="FF000000"/>
      </right>
      <top/>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010000"/>
      </top>
      <bottom style="thin">
        <color indexed="64"/>
      </bottom>
      <diagonal/>
    </border>
    <border>
      <left style="hair">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hair">
        <color indexed="64"/>
      </left>
      <right style="thin">
        <color indexed="64"/>
      </right>
      <top/>
      <bottom style="hair">
        <color indexed="64"/>
      </bottom>
      <diagonal/>
    </border>
    <border>
      <left/>
      <right style="thin">
        <color rgb="FF000000"/>
      </right>
      <top style="thin">
        <color indexed="64"/>
      </top>
      <bottom style="medium">
        <color indexed="64"/>
      </bottom>
      <diagonal/>
    </border>
    <border>
      <left style="thin">
        <color rgb="FF000000"/>
      </left>
      <right/>
      <top style="thin">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rgb="FF000000"/>
      </right>
      <top/>
      <bottom/>
      <diagonal/>
    </border>
  </borders>
  <cellStyleXfs count="12">
    <xf numFmtId="0" fontId="0" fillId="0" borderId="0"/>
    <xf numFmtId="0" fontId="12" fillId="0" borderId="0"/>
    <xf numFmtId="43" fontId="3" fillId="0" borderId="0" applyFont="0" applyFill="0" applyBorder="0" applyAlignment="0" applyProtection="0"/>
    <xf numFmtId="9" fontId="12" fillId="0" borderId="0" applyFont="0" applyFill="0" applyBorder="0" applyAlignment="0" applyProtection="0"/>
    <xf numFmtId="0" fontId="2" fillId="0" borderId="0"/>
    <xf numFmtId="43" fontId="2" fillId="0" borderId="0" applyFont="0" applyFill="0" applyBorder="0" applyAlignment="0" applyProtection="0"/>
    <xf numFmtId="9" fontId="24" fillId="0" borderId="0" applyFont="0" applyFill="0" applyBorder="0" applyAlignment="0" applyProtection="0"/>
    <xf numFmtId="0" fontId="1" fillId="0" borderId="0"/>
    <xf numFmtId="43" fontId="1" fillId="0" borderId="0" applyFont="0" applyFill="0" applyBorder="0" applyAlignment="0" applyProtection="0"/>
    <xf numFmtId="0" fontId="4" fillId="0" borderId="0"/>
    <xf numFmtId="168" fontId="4" fillId="0" borderId="0" applyFont="0" applyFill="0" applyBorder="0" applyAlignment="0" applyProtection="0"/>
    <xf numFmtId="164" fontId="24" fillId="0" borderId="0" applyFont="0" applyFill="0" applyBorder="0" applyAlignment="0" applyProtection="0"/>
  </cellStyleXfs>
  <cellXfs count="405">
    <xf numFmtId="0" fontId="0" fillId="0" borderId="0" xfId="0"/>
    <xf numFmtId="0" fontId="5" fillId="0" borderId="3" xfId="0" applyFont="1" applyBorder="1" applyAlignment="1">
      <alignment horizontal="center" vertical="center"/>
    </xf>
    <xf numFmtId="2" fontId="0" fillId="0" borderId="0" xfId="0" applyNumberFormat="1"/>
    <xf numFmtId="0" fontId="7" fillId="0" borderId="17" xfId="0" applyFont="1" applyBorder="1" applyAlignment="1">
      <alignment horizontal="center" vertical="center" wrapText="1"/>
    </xf>
    <xf numFmtId="2" fontId="7" fillId="0" borderId="17" xfId="0" applyNumberFormat="1" applyFont="1" applyBorder="1" applyAlignment="1">
      <alignment horizontal="center" vertical="center" wrapText="1"/>
    </xf>
    <xf numFmtId="0" fontId="7" fillId="2" borderId="17" xfId="0" applyFont="1" applyFill="1" applyBorder="1" applyAlignment="1">
      <alignment horizontal="center" vertical="center" wrapText="1"/>
    </xf>
    <xf numFmtId="0" fontId="5" fillId="0" borderId="25" xfId="0" applyFont="1" applyBorder="1" applyAlignment="1">
      <alignment horizontal="center" vertical="center"/>
    </xf>
    <xf numFmtId="4" fontId="7" fillId="0" borderId="17" xfId="0" applyNumberFormat="1" applyFont="1" applyBorder="1" applyAlignment="1">
      <alignment horizontal="right" vertical="center" wrapText="1"/>
    </xf>
    <xf numFmtId="4" fontId="9" fillId="0" borderId="17" xfId="0" applyNumberFormat="1" applyFont="1" applyBorder="1" applyAlignment="1">
      <alignment horizontal="right" vertical="center"/>
    </xf>
    <xf numFmtId="0" fontId="9" fillId="0" borderId="17" xfId="0" applyFont="1" applyBorder="1" applyAlignment="1">
      <alignment horizontal="center" vertical="center"/>
    </xf>
    <xf numFmtId="0" fontId="7" fillId="0" borderId="0" xfId="0" applyFont="1" applyAlignment="1">
      <alignment horizontal="center" vertical="center"/>
    </xf>
    <xf numFmtId="0" fontId="9" fillId="0" borderId="16" xfId="0" applyFont="1" applyBorder="1" applyAlignment="1">
      <alignment horizontal="left" vertical="center" wrapText="1"/>
    </xf>
    <xf numFmtId="0" fontId="12" fillId="0" borderId="0" xfId="1"/>
    <xf numFmtId="0" fontId="12" fillId="2" borderId="0" xfId="1" applyFill="1"/>
    <xf numFmtId="49" fontId="17" fillId="4" borderId="40" xfId="1" applyNumberFormat="1" applyFont="1" applyFill="1" applyBorder="1" applyAlignment="1">
      <alignment horizontal="center" vertical="top" wrapText="1"/>
    </xf>
    <xf numFmtId="49" fontId="17" fillId="4" borderId="42" xfId="1" applyNumberFormat="1" applyFont="1" applyFill="1" applyBorder="1" applyAlignment="1">
      <alignment horizontal="center" vertical="top" wrapText="1"/>
    </xf>
    <xf numFmtId="49" fontId="19" fillId="4" borderId="45" xfId="1" applyNumberFormat="1" applyFont="1" applyFill="1" applyBorder="1" applyAlignment="1">
      <alignment horizontal="center" vertical="top" wrapText="1"/>
    </xf>
    <xf numFmtId="49" fontId="19" fillId="4" borderId="48" xfId="1" applyNumberFormat="1" applyFont="1" applyFill="1" applyBorder="1" applyAlignment="1">
      <alignment horizontal="center" vertical="top" wrapText="1"/>
    </xf>
    <xf numFmtId="0" fontId="12" fillId="4" borderId="46" xfId="1" applyFill="1" applyBorder="1" applyAlignment="1">
      <alignment vertical="center"/>
    </xf>
    <xf numFmtId="0" fontId="12" fillId="4" borderId="34" xfId="1" applyFill="1" applyBorder="1" applyAlignment="1">
      <alignment vertical="center"/>
    </xf>
    <xf numFmtId="0" fontId="12" fillId="4" borderId="34" xfId="1" applyFill="1" applyBorder="1" applyAlignment="1">
      <alignment vertical="center" wrapText="1"/>
    </xf>
    <xf numFmtId="0" fontId="12" fillId="4" borderId="35" xfId="1" applyFill="1" applyBorder="1" applyAlignment="1">
      <alignment vertical="center"/>
    </xf>
    <xf numFmtId="0" fontId="8" fillId="4" borderId="20" xfId="1" applyFont="1" applyFill="1" applyBorder="1" applyAlignment="1">
      <alignment wrapText="1"/>
    </xf>
    <xf numFmtId="0" fontId="12" fillId="0" borderId="49" xfId="1" applyBorder="1" applyAlignment="1">
      <alignment vertical="center"/>
    </xf>
    <xf numFmtId="0" fontId="8" fillId="4" borderId="0" xfId="1" applyFont="1" applyFill="1" applyAlignment="1">
      <alignment wrapText="1"/>
    </xf>
    <xf numFmtId="0" fontId="8" fillId="4" borderId="20" xfId="1" applyFont="1" applyFill="1" applyBorder="1"/>
    <xf numFmtId="0" fontId="12" fillId="4" borderId="0" xfId="1" applyFill="1" applyAlignment="1">
      <alignment wrapText="1"/>
    </xf>
    <xf numFmtId="0" fontId="4" fillId="4" borderId="46" xfId="1" applyFont="1" applyFill="1" applyBorder="1"/>
    <xf numFmtId="0" fontId="12" fillId="4" borderId="34" xfId="1" applyFill="1" applyBorder="1" applyAlignment="1">
      <alignment wrapText="1"/>
    </xf>
    <xf numFmtId="0" fontId="12" fillId="4" borderId="34" xfId="1" applyFill="1" applyBorder="1"/>
    <xf numFmtId="0" fontId="12" fillId="4" borderId="0" xfId="1" applyFill="1"/>
    <xf numFmtId="0" fontId="4" fillId="4" borderId="20" xfId="1" applyFont="1" applyFill="1" applyBorder="1"/>
    <xf numFmtId="0" fontId="11" fillId="0" borderId="0" xfId="1" applyFont="1" applyAlignment="1">
      <alignment horizontal="center" vertical="center" wrapText="1"/>
    </xf>
    <xf numFmtId="0" fontId="20" fillId="4" borderId="20" xfId="1" applyFont="1" applyFill="1" applyBorder="1"/>
    <xf numFmtId="0" fontId="12" fillId="0" borderId="49" xfId="1" applyBorder="1" applyAlignment="1">
      <alignment horizontal="center" vertical="center"/>
    </xf>
    <xf numFmtId="0" fontId="20" fillId="4" borderId="0" xfId="1" applyFont="1" applyFill="1" applyAlignment="1">
      <alignment wrapText="1"/>
    </xf>
    <xf numFmtId="0" fontId="8" fillId="4" borderId="0" xfId="1" applyFont="1" applyFill="1" applyAlignment="1">
      <alignment horizontal="right"/>
    </xf>
    <xf numFmtId="0" fontId="21" fillId="4" borderId="46" xfId="1" applyFont="1" applyFill="1" applyBorder="1"/>
    <xf numFmtId="0" fontId="4" fillId="0" borderId="30" xfId="1" applyFont="1" applyBorder="1" applyAlignment="1">
      <alignment horizontal="center" vertical="center"/>
    </xf>
    <xf numFmtId="0" fontId="21" fillId="4" borderId="34" xfId="1" applyFont="1" applyFill="1" applyBorder="1" applyAlignment="1">
      <alignment wrapText="1"/>
    </xf>
    <xf numFmtId="0" fontId="4" fillId="2" borderId="0" xfId="1" applyFont="1" applyFill="1" applyAlignment="1">
      <alignment vertical="center" wrapText="1"/>
    </xf>
    <xf numFmtId="0" fontId="8" fillId="2" borderId="0" xfId="1" applyFont="1" applyFill="1" applyAlignment="1">
      <alignment wrapText="1"/>
    </xf>
    <xf numFmtId="0" fontId="8" fillId="2" borderId="0" xfId="1" applyFont="1" applyFill="1" applyAlignment="1">
      <alignment horizontal="center" wrapText="1"/>
    </xf>
    <xf numFmtId="10" fontId="18" fillId="4" borderId="52" xfId="1" applyNumberFormat="1" applyFont="1" applyFill="1" applyBorder="1" applyAlignment="1">
      <alignment vertical="top" wrapText="1"/>
    </xf>
    <xf numFmtId="4" fontId="17" fillId="4" borderId="53" xfId="1" applyNumberFormat="1" applyFont="1" applyFill="1" applyBorder="1" applyAlignment="1">
      <alignment vertical="top" wrapText="1"/>
    </xf>
    <xf numFmtId="4" fontId="17" fillId="4" borderId="52" xfId="1" applyNumberFormat="1" applyFont="1" applyFill="1" applyBorder="1" applyAlignment="1">
      <alignment vertical="top" wrapText="1"/>
    </xf>
    <xf numFmtId="9" fontId="17" fillId="4" borderId="52" xfId="3" applyFont="1" applyFill="1" applyBorder="1" applyAlignment="1">
      <alignment vertical="top" wrapText="1"/>
    </xf>
    <xf numFmtId="10" fontId="17" fillId="4" borderId="17" xfId="1" applyNumberFormat="1" applyFont="1" applyFill="1" applyBorder="1" applyAlignment="1">
      <alignment vertical="top" wrapText="1"/>
    </xf>
    <xf numFmtId="4" fontId="17" fillId="4" borderId="17" xfId="1" applyNumberFormat="1" applyFont="1" applyFill="1" applyBorder="1" applyAlignment="1">
      <alignment vertical="top" wrapText="1"/>
    </xf>
    <xf numFmtId="10" fontId="17" fillId="4" borderId="17" xfId="3" applyNumberFormat="1" applyFont="1" applyFill="1" applyBorder="1" applyAlignment="1">
      <alignment vertical="top" wrapText="1"/>
    </xf>
    <xf numFmtId="0" fontId="8" fillId="4" borderId="54" xfId="1" applyFont="1" applyFill="1" applyBorder="1" applyAlignment="1">
      <alignment horizontal="center" vertical="center"/>
    </xf>
    <xf numFmtId="0" fontId="8" fillId="4" borderId="55" xfId="1" applyFont="1" applyFill="1" applyBorder="1" applyAlignment="1">
      <alignment horizontal="center" vertical="center"/>
    </xf>
    <xf numFmtId="0" fontId="8" fillId="4" borderId="55" xfId="1" applyFont="1" applyFill="1" applyBorder="1" applyAlignment="1">
      <alignment horizontal="center" vertical="center" wrapText="1"/>
    </xf>
    <xf numFmtId="0" fontId="8" fillId="4" borderId="56" xfId="1" applyFont="1" applyFill="1" applyBorder="1" applyAlignment="1">
      <alignment horizontal="center" vertical="center"/>
    </xf>
    <xf numFmtId="0" fontId="8" fillId="4" borderId="57" xfId="1" applyFont="1" applyFill="1" applyBorder="1" applyAlignment="1">
      <alignment horizontal="center" vertical="center"/>
    </xf>
    <xf numFmtId="10" fontId="17" fillId="4" borderId="58" xfId="1" applyNumberFormat="1" applyFont="1" applyFill="1" applyBorder="1" applyAlignment="1">
      <alignment vertical="top" wrapText="1"/>
    </xf>
    <xf numFmtId="4" fontId="17" fillId="4" borderId="58" xfId="1" applyNumberFormat="1" applyFont="1" applyFill="1" applyBorder="1" applyAlignment="1">
      <alignment vertical="top" wrapText="1"/>
    </xf>
    <xf numFmtId="166" fontId="19" fillId="4" borderId="59" xfId="1" applyNumberFormat="1" applyFont="1" applyFill="1" applyBorder="1" applyAlignment="1">
      <alignment vertical="top" wrapText="1"/>
    </xf>
    <xf numFmtId="10" fontId="12" fillId="0" borderId="0" xfId="1" applyNumberFormat="1"/>
    <xf numFmtId="0" fontId="10" fillId="0" borderId="17" xfId="0" applyFont="1" applyBorder="1" applyAlignment="1">
      <alignment horizontal="center" vertical="center" wrapText="1"/>
    </xf>
    <xf numFmtId="0" fontId="16" fillId="3" borderId="31" xfId="1" applyFont="1" applyFill="1" applyBorder="1" applyAlignment="1">
      <alignment horizontal="center" vertical="center"/>
    </xf>
    <xf numFmtId="0" fontId="14" fillId="3" borderId="60" xfId="1" applyFont="1" applyFill="1" applyBorder="1" applyAlignment="1" applyProtection="1">
      <alignment horizontal="center" vertical="center" wrapText="1"/>
      <protection locked="0"/>
    </xf>
    <xf numFmtId="0" fontId="14" fillId="3" borderId="61" xfId="1" applyFont="1" applyFill="1" applyBorder="1" applyAlignment="1" applyProtection="1">
      <alignment horizontal="center" vertical="center" wrapText="1"/>
      <protection locked="0"/>
    </xf>
    <xf numFmtId="0" fontId="14" fillId="3" borderId="61" xfId="1" applyFont="1" applyFill="1" applyBorder="1" applyAlignment="1" applyProtection="1">
      <alignment vertical="center" wrapText="1"/>
      <protection locked="0"/>
    </xf>
    <xf numFmtId="0" fontId="16" fillId="3" borderId="65" xfId="1" applyFont="1" applyFill="1" applyBorder="1" applyAlignment="1">
      <alignment horizontal="center" vertical="center"/>
    </xf>
    <xf numFmtId="4" fontId="7" fillId="0" borderId="17" xfId="0" applyNumberFormat="1" applyFont="1" applyBorder="1" applyAlignment="1">
      <alignment horizontal="center" vertical="center" wrapText="1"/>
    </xf>
    <xf numFmtId="0" fontId="9" fillId="0" borderId="17" xfId="0" applyFont="1" applyBorder="1" applyAlignment="1">
      <alignment horizontal="left" vertical="center" wrapText="1"/>
    </xf>
    <xf numFmtId="0" fontId="9" fillId="0" borderId="17" xfId="0" applyFont="1" applyBorder="1" applyAlignment="1">
      <alignment horizontal="center" vertical="center" wrapText="1"/>
    </xf>
    <xf numFmtId="49" fontId="6" fillId="3" borderId="22" xfId="0" applyNumberFormat="1" applyFont="1" applyFill="1" applyBorder="1" applyAlignment="1">
      <alignment horizontal="center" vertical="center" wrapText="1"/>
    </xf>
    <xf numFmtId="0" fontId="6" fillId="3" borderId="22" xfId="0" applyFont="1" applyFill="1" applyBorder="1" applyAlignment="1">
      <alignment horizontal="left" vertical="center" wrapText="1"/>
    </xf>
    <xf numFmtId="2" fontId="7" fillId="3" borderId="22" xfId="0" applyNumberFormat="1" applyFont="1" applyFill="1" applyBorder="1" applyAlignment="1">
      <alignment horizontal="center" vertical="center" wrapText="1"/>
    </xf>
    <xf numFmtId="4" fontId="7" fillId="3" borderId="22" xfId="0" applyNumberFormat="1" applyFont="1" applyFill="1" applyBorder="1" applyAlignment="1">
      <alignment horizontal="center" vertical="center" wrapText="1"/>
    </xf>
    <xf numFmtId="0" fontId="0" fillId="0" borderId="0" xfId="0" applyAlignment="1">
      <alignment vertical="center"/>
    </xf>
    <xf numFmtId="2" fontId="0" fillId="0" borderId="0" xfId="0" applyNumberFormat="1" applyAlignment="1">
      <alignment vertical="center"/>
    </xf>
    <xf numFmtId="4" fontId="0" fillId="0" borderId="0" xfId="0" applyNumberFormat="1"/>
    <xf numFmtId="165" fontId="5" fillId="0" borderId="3" xfId="0" applyNumberFormat="1" applyFont="1" applyBorder="1" applyAlignment="1">
      <alignment horizontal="center" vertical="center"/>
    </xf>
    <xf numFmtId="165" fontId="5" fillId="0" borderId="7" xfId="0" applyNumberFormat="1" applyFont="1" applyBorder="1" applyAlignment="1">
      <alignment horizontal="center" vertical="center"/>
    </xf>
    <xf numFmtId="165" fontId="5" fillId="0" borderId="25" xfId="0" applyNumberFormat="1" applyFont="1" applyBorder="1" applyAlignment="1">
      <alignment horizontal="center" vertical="center" wrapText="1"/>
    </xf>
    <xf numFmtId="165" fontId="7" fillId="3" borderId="23" xfId="0" applyNumberFormat="1" applyFont="1" applyFill="1" applyBorder="1" applyAlignment="1">
      <alignment horizontal="center" vertical="center" wrapText="1"/>
    </xf>
    <xf numFmtId="165" fontId="7" fillId="3" borderId="24" xfId="0" applyNumberFormat="1" applyFont="1" applyFill="1" applyBorder="1" applyAlignment="1">
      <alignment horizontal="center" vertical="center" wrapText="1"/>
    </xf>
    <xf numFmtId="165" fontId="9" fillId="0" borderId="16" xfId="0" applyNumberFormat="1" applyFont="1" applyBorder="1" applyAlignment="1">
      <alignment horizontal="right" vertical="center" wrapText="1"/>
    </xf>
    <xf numFmtId="165" fontId="11" fillId="0" borderId="17" xfId="0" applyNumberFormat="1" applyFont="1" applyBorder="1" applyAlignment="1">
      <alignment horizontal="right" vertical="center" wrapText="1"/>
    </xf>
    <xf numFmtId="165" fontId="0" fillId="0" borderId="0" xfId="0" applyNumberFormat="1"/>
    <xf numFmtId="0" fontId="9" fillId="0" borderId="72" xfId="0" applyFont="1" applyBorder="1" applyAlignment="1">
      <alignment horizontal="left" vertical="center" wrapText="1"/>
    </xf>
    <xf numFmtId="0" fontId="23" fillId="0" borderId="0" xfId="0" applyFont="1" applyAlignment="1">
      <alignment vertical="center"/>
    </xf>
    <xf numFmtId="2" fontId="23" fillId="0" borderId="0" xfId="0" applyNumberFormat="1" applyFont="1" applyAlignment="1">
      <alignment vertical="center"/>
    </xf>
    <xf numFmtId="10" fontId="17" fillId="4" borderId="58" xfId="3" applyNumberFormat="1" applyFont="1" applyFill="1" applyBorder="1" applyAlignment="1">
      <alignment vertical="top" wrapText="1"/>
    </xf>
    <xf numFmtId="166" fontId="19" fillId="4" borderId="73" xfId="1" applyNumberFormat="1" applyFont="1" applyFill="1" applyBorder="1" applyAlignment="1">
      <alignment vertical="top" wrapText="1"/>
    </xf>
    <xf numFmtId="0" fontId="8" fillId="2" borderId="21" xfId="1" applyFont="1" applyFill="1" applyBorder="1" applyAlignment="1">
      <alignment wrapText="1"/>
    </xf>
    <xf numFmtId="0" fontId="8" fillId="2" borderId="21" xfId="1" applyFont="1" applyFill="1" applyBorder="1" applyAlignment="1">
      <alignment horizontal="center" wrapText="1"/>
    </xf>
    <xf numFmtId="0" fontId="4" fillId="2" borderId="21" xfId="1" applyFont="1" applyFill="1" applyBorder="1" applyAlignment="1">
      <alignment vertical="center" wrapText="1"/>
    </xf>
    <xf numFmtId="0" fontId="12" fillId="2" borderId="34" xfId="1" applyFill="1" applyBorder="1"/>
    <xf numFmtId="0" fontId="12" fillId="2" borderId="35" xfId="1" applyFill="1" applyBorder="1"/>
    <xf numFmtId="165" fontId="5" fillId="0" borderId="76" xfId="0" applyNumberFormat="1" applyFont="1" applyBorder="1" applyAlignment="1">
      <alignment horizontal="center" vertical="center"/>
    </xf>
    <xf numFmtId="165" fontId="5" fillId="0" borderId="11" xfId="0" applyNumberFormat="1" applyFont="1" applyBorder="1" applyAlignment="1">
      <alignment horizontal="center" vertical="center"/>
    </xf>
    <xf numFmtId="0" fontId="5" fillId="0" borderId="10" xfId="0" applyFont="1" applyBorder="1" applyAlignment="1">
      <alignment horizontal="center" vertical="center"/>
    </xf>
    <xf numFmtId="0" fontId="5" fillId="0" borderId="84" xfId="0" applyFont="1" applyBorder="1" applyAlignment="1">
      <alignment horizontal="center" vertical="center"/>
    </xf>
    <xf numFmtId="165" fontId="5" fillId="0" borderId="85" xfId="0" applyNumberFormat="1" applyFont="1" applyBorder="1" applyAlignment="1">
      <alignment horizontal="center" vertical="center"/>
    </xf>
    <xf numFmtId="165" fontId="5" fillId="0" borderId="89" xfId="0" applyNumberFormat="1" applyFont="1" applyBorder="1" applyAlignment="1">
      <alignment horizontal="left" vertical="center"/>
    </xf>
    <xf numFmtId="10" fontId="5" fillId="0" borderId="93" xfId="6" applyNumberFormat="1" applyFont="1" applyBorder="1" applyAlignment="1">
      <alignment horizontal="center" vertical="center"/>
    </xf>
    <xf numFmtId="0" fontId="5" fillId="0" borderId="94" xfId="0" applyFont="1" applyBorder="1" applyAlignment="1">
      <alignment horizontal="center" vertical="center"/>
    </xf>
    <xf numFmtId="165" fontId="5" fillId="0" borderId="95" xfId="0" applyNumberFormat="1" applyFont="1" applyBorder="1" applyAlignment="1">
      <alignment horizontal="center" vertical="center" wrapText="1"/>
    </xf>
    <xf numFmtId="0" fontId="6" fillId="3" borderId="96" xfId="0" applyFont="1" applyFill="1" applyBorder="1" applyAlignment="1">
      <alignment horizontal="center" vertical="center" wrapText="1"/>
    </xf>
    <xf numFmtId="165" fontId="6" fillId="3" borderId="50" xfId="0" applyNumberFormat="1" applyFont="1" applyFill="1" applyBorder="1" applyAlignment="1">
      <alignment horizontal="center" vertical="center" wrapText="1"/>
    </xf>
    <xf numFmtId="165" fontId="6" fillId="0" borderId="55" xfId="0" applyNumberFormat="1" applyFont="1" applyBorder="1" applyAlignment="1">
      <alignment horizontal="center" vertical="center" wrapText="1"/>
    </xf>
    <xf numFmtId="4" fontId="23" fillId="5" borderId="0" xfId="0" applyNumberFormat="1" applyFont="1" applyFill="1"/>
    <xf numFmtId="0" fontId="5" fillId="3" borderId="99" xfId="0" applyFont="1" applyFill="1" applyBorder="1" applyAlignment="1">
      <alignment vertical="center" wrapText="1"/>
    </xf>
    <xf numFmtId="0" fontId="4" fillId="0" borderId="0" xfId="1" applyFont="1"/>
    <xf numFmtId="0" fontId="4" fillId="0" borderId="4"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9" fillId="0" borderId="29" xfId="0" applyFont="1" applyBorder="1" applyAlignment="1">
      <alignment horizontal="center" vertical="center" wrapText="1"/>
    </xf>
    <xf numFmtId="0" fontId="9" fillId="0" borderId="0" xfId="0" applyFont="1" applyAlignment="1">
      <alignment horizontal="left" vertical="center" wrapText="1"/>
    </xf>
    <xf numFmtId="0" fontId="9" fillId="0" borderId="100" xfId="0" applyFont="1" applyBorder="1" applyAlignment="1">
      <alignment horizontal="left" vertical="center" wrapText="1"/>
    </xf>
    <xf numFmtId="0" fontId="15" fillId="3" borderId="62" xfId="1" applyFont="1" applyFill="1" applyBorder="1" applyAlignment="1" applyProtection="1">
      <alignment vertical="center" wrapText="1"/>
      <protection locked="0"/>
    </xf>
    <xf numFmtId="0" fontId="15" fillId="3" borderId="63" xfId="1" applyFont="1" applyFill="1" applyBorder="1" applyAlignment="1" applyProtection="1">
      <alignment vertical="center" wrapText="1"/>
      <protection locked="0"/>
    </xf>
    <xf numFmtId="0" fontId="15" fillId="3" borderId="101" xfId="1" applyFont="1" applyFill="1" applyBorder="1" applyAlignment="1" applyProtection="1">
      <alignment vertical="center" wrapText="1"/>
      <protection locked="0"/>
    </xf>
    <xf numFmtId="0" fontId="15" fillId="3" borderId="33" xfId="1" applyFont="1" applyFill="1" applyBorder="1" applyAlignment="1" applyProtection="1">
      <alignment vertical="center" wrapText="1"/>
      <protection locked="0"/>
    </xf>
    <xf numFmtId="165" fontId="6" fillId="3" borderId="50" xfId="0" quotePrefix="1" applyNumberFormat="1" applyFont="1" applyFill="1" applyBorder="1" applyAlignment="1">
      <alignment horizontal="center" vertical="center" wrapText="1"/>
    </xf>
    <xf numFmtId="0" fontId="29" fillId="0" borderId="13" xfId="0" applyFont="1" applyBorder="1"/>
    <xf numFmtId="0" fontId="29" fillId="0" borderId="14" xfId="0" applyFont="1" applyBorder="1"/>
    <xf numFmtId="0" fontId="29" fillId="2" borderId="14" xfId="0" applyFont="1" applyFill="1" applyBorder="1"/>
    <xf numFmtId="0" fontId="29" fillId="0" borderId="15" xfId="0" applyFont="1" applyBorder="1"/>
    <xf numFmtId="0" fontId="31" fillId="0" borderId="28" xfId="0" applyFont="1" applyBorder="1" applyAlignment="1">
      <alignment horizontal="center" vertical="center"/>
    </xf>
    <xf numFmtId="0" fontId="31" fillId="2" borderId="28" xfId="0" applyFont="1" applyFill="1" applyBorder="1" applyAlignment="1">
      <alignment horizontal="center" vertical="center"/>
    </xf>
    <xf numFmtId="0" fontId="31" fillId="0" borderId="29" xfId="0" applyFont="1" applyBorder="1" applyAlignment="1">
      <alignment horizontal="center" vertical="center"/>
    </xf>
    <xf numFmtId="0" fontId="31" fillId="0" borderId="32" xfId="0" applyFont="1" applyBorder="1" applyAlignment="1">
      <alignment horizontal="left" vertical="center"/>
    </xf>
    <xf numFmtId="0" fontId="31" fillId="0" borderId="30" xfId="0" applyFont="1" applyBorder="1" applyAlignment="1">
      <alignment horizontal="center" vertical="center"/>
    </xf>
    <xf numFmtId="10" fontId="31" fillId="0" borderId="103" xfId="3" applyNumberFormat="1" applyFont="1" applyFill="1" applyBorder="1" applyAlignment="1">
      <alignment horizontal="center" vertical="center"/>
    </xf>
    <xf numFmtId="0" fontId="29" fillId="0" borderId="20" xfId="0" applyFont="1" applyBorder="1"/>
    <xf numFmtId="0" fontId="29" fillId="0" borderId="0" xfId="0" applyFont="1"/>
    <xf numFmtId="0" fontId="29" fillId="0" borderId="21" xfId="0" applyFont="1" applyBorder="1"/>
    <xf numFmtId="0" fontId="32" fillId="0" borderId="46" xfId="0" applyFont="1" applyBorder="1" applyAlignment="1">
      <alignment horizontal="center"/>
    </xf>
    <xf numFmtId="0" fontId="32" fillId="0" borderId="34" xfId="0" applyFont="1" applyBorder="1" applyAlignment="1">
      <alignment horizontal="center"/>
    </xf>
    <xf numFmtId="0" fontId="32" fillId="0" borderId="35" xfId="0" applyFont="1" applyBorder="1" applyAlignment="1">
      <alignment horizontal="center"/>
    </xf>
    <xf numFmtId="0" fontId="33" fillId="0" borderId="104" xfId="0" applyFont="1" applyBorder="1"/>
    <xf numFmtId="0" fontId="33" fillId="0" borderId="67" xfId="0" applyFont="1" applyBorder="1"/>
    <xf numFmtId="0" fontId="33" fillId="0" borderId="105" xfId="0" applyFont="1" applyBorder="1"/>
    <xf numFmtId="0" fontId="22" fillId="0" borderId="17" xfId="0" applyFont="1" applyBorder="1" applyAlignment="1">
      <alignment horizontal="center"/>
    </xf>
    <xf numFmtId="0" fontId="33" fillId="0" borderId="106" xfId="0" applyFont="1" applyBorder="1"/>
    <xf numFmtId="0" fontId="33" fillId="0" borderId="17" xfId="0" applyFont="1" applyBorder="1"/>
    <xf numFmtId="0" fontId="33" fillId="0" borderId="58" xfId="0" applyFont="1" applyBorder="1"/>
    <xf numFmtId="0" fontId="33" fillId="0" borderId="17" xfId="0" applyFont="1" applyBorder="1" applyAlignment="1">
      <alignment horizontal="center"/>
    </xf>
    <xf numFmtId="10" fontId="33" fillId="0" borderId="17" xfId="3" applyNumberFormat="1" applyFont="1" applyBorder="1" applyAlignment="1">
      <alignment horizontal="center"/>
    </xf>
    <xf numFmtId="0" fontId="22" fillId="0" borderId="106" xfId="0" applyFont="1" applyBorder="1"/>
    <xf numFmtId="10" fontId="22" fillId="0" borderId="17" xfId="3" applyNumberFormat="1" applyFont="1" applyBorder="1" applyAlignment="1">
      <alignment horizontal="center"/>
    </xf>
    <xf numFmtId="0" fontId="22" fillId="0" borderId="17" xfId="0" applyFont="1" applyBorder="1"/>
    <xf numFmtId="0" fontId="22" fillId="0" borderId="58" xfId="0" applyFont="1" applyBorder="1"/>
    <xf numFmtId="10" fontId="33" fillId="3" borderId="17" xfId="3" applyNumberFormat="1" applyFont="1" applyFill="1" applyBorder="1" applyAlignment="1">
      <alignment horizontal="center"/>
    </xf>
    <xf numFmtId="0" fontId="33" fillId="3" borderId="17" xfId="0" applyFont="1" applyFill="1" applyBorder="1" applyAlignment="1">
      <alignment horizontal="center"/>
    </xf>
    <xf numFmtId="10" fontId="33" fillId="0" borderId="17" xfId="3" applyNumberFormat="1" applyFont="1" applyBorder="1"/>
    <xf numFmtId="0" fontId="33" fillId="0" borderId="46" xfId="0" applyFont="1" applyBorder="1"/>
    <xf numFmtId="0" fontId="33" fillId="0" borderId="20" xfId="0" applyFont="1" applyBorder="1"/>
    <xf numFmtId="0" fontId="33" fillId="0" borderId="0" xfId="0" applyFont="1"/>
    <xf numFmtId="0" fontId="33" fillId="0" borderId="21" xfId="0" applyFont="1" applyBorder="1"/>
    <xf numFmtId="168" fontId="33" fillId="0" borderId="0" xfId="0" applyNumberFormat="1" applyFont="1"/>
    <xf numFmtId="0" fontId="29" fillId="0" borderId="34" xfId="0" applyFont="1" applyBorder="1"/>
    <xf numFmtId="0" fontId="29" fillId="0" borderId="35" xfId="0" applyFont="1" applyBorder="1"/>
    <xf numFmtId="0" fontId="34" fillId="0" borderId="21" xfId="0" applyFont="1" applyBorder="1"/>
    <xf numFmtId="0" fontId="34" fillId="0" borderId="0" xfId="0" applyFont="1"/>
    <xf numFmtId="0" fontId="5" fillId="0" borderId="86" xfId="0" applyFont="1" applyBorder="1" applyAlignment="1">
      <alignment vertical="center"/>
    </xf>
    <xf numFmtId="0" fontId="5" fillId="0" borderId="88" xfId="0" applyFont="1" applyBorder="1" applyAlignment="1">
      <alignment vertical="center"/>
    </xf>
    <xf numFmtId="165" fontId="5" fillId="0" borderId="9" xfId="0" applyNumberFormat="1" applyFont="1" applyBorder="1" applyAlignment="1">
      <alignment vertical="center"/>
    </xf>
    <xf numFmtId="165" fontId="4" fillId="0" borderId="7" xfId="0" applyNumberFormat="1" applyFont="1" applyBorder="1"/>
    <xf numFmtId="165" fontId="4" fillId="0" borderId="89" xfId="0" applyNumberFormat="1" applyFont="1" applyBorder="1"/>
    <xf numFmtId="165" fontId="6" fillId="3" borderId="24" xfId="0" applyNumberFormat="1" applyFont="1" applyFill="1" applyBorder="1" applyAlignment="1">
      <alignment horizontal="center" vertical="center" wrapText="1"/>
    </xf>
    <xf numFmtId="165" fontId="12" fillId="0" borderId="0" xfId="1" applyNumberFormat="1"/>
    <xf numFmtId="164" fontId="12" fillId="0" borderId="0" xfId="11" applyFont="1"/>
    <xf numFmtId="168" fontId="34" fillId="0" borderId="0" xfId="10" applyFont="1" applyBorder="1" applyAlignment="1">
      <alignment vertical="center"/>
    </xf>
    <xf numFmtId="0" fontId="34" fillId="0" borderId="33" xfId="0" applyFont="1" applyBorder="1" applyAlignment="1">
      <alignment vertical="center"/>
    </xf>
    <xf numFmtId="0" fontId="4" fillId="0" borderId="33" xfId="1" applyFont="1" applyBorder="1" applyAlignment="1">
      <alignment vertical="center" wrapText="1"/>
    </xf>
    <xf numFmtId="0" fontId="9" fillId="0" borderId="49" xfId="0" applyFont="1" applyBorder="1" applyAlignment="1">
      <alignment horizontal="left" vertical="center" wrapText="1"/>
    </xf>
    <xf numFmtId="0" fontId="9" fillId="0" borderId="29" xfId="0" applyFont="1" applyBorder="1" applyAlignment="1">
      <alignment horizontal="center" vertical="center"/>
    </xf>
    <xf numFmtId="4" fontId="7" fillId="0" borderId="29" xfId="0" applyNumberFormat="1" applyFont="1" applyBorder="1" applyAlignment="1">
      <alignment horizontal="center" vertical="center" wrapText="1"/>
    </xf>
    <xf numFmtId="4" fontId="9" fillId="0" borderId="29" xfId="0" applyNumberFormat="1" applyFont="1" applyBorder="1" applyAlignment="1">
      <alignment horizontal="left" vertical="center" wrapText="1"/>
    </xf>
    <xf numFmtId="0" fontId="37" fillId="0" borderId="68" xfId="0" applyFont="1" applyBorder="1"/>
    <xf numFmtId="0" fontId="39" fillId="0" borderId="17" xfId="0" applyFont="1" applyBorder="1" applyAlignment="1">
      <alignment vertical="center"/>
    </xf>
    <xf numFmtId="0" fontId="39" fillId="0" borderId="17" xfId="0" applyFont="1" applyBorder="1" applyAlignment="1">
      <alignment horizontal="left" vertical="center"/>
    </xf>
    <xf numFmtId="0" fontId="39" fillId="0" borderId="17" xfId="0" applyFont="1" applyBorder="1" applyAlignment="1">
      <alignment vertical="center" wrapText="1"/>
    </xf>
    <xf numFmtId="0" fontId="39" fillId="0" borderId="17" xfId="0" applyFont="1" applyBorder="1" applyAlignment="1">
      <alignment horizontal="center" vertical="center"/>
    </xf>
    <xf numFmtId="0" fontId="39" fillId="0" borderId="70" xfId="0" applyFont="1" applyBorder="1" applyAlignment="1">
      <alignment horizontal="center" vertical="center"/>
    </xf>
    <xf numFmtId="0" fontId="39" fillId="0" borderId="70" xfId="0" applyFont="1" applyBorder="1" applyAlignment="1">
      <alignment horizontal="right" vertical="center"/>
    </xf>
    <xf numFmtId="0" fontId="40" fillId="0" borderId="17" xfId="0" applyFont="1" applyBorder="1" applyAlignment="1">
      <alignment horizontal="centerContinuous" vertical="center" wrapText="1"/>
    </xf>
    <xf numFmtId="0" fontId="39" fillId="0" borderId="17" xfId="0" applyFont="1" applyBorder="1" applyAlignment="1">
      <alignment horizontal="left" vertical="center" wrapText="1"/>
    </xf>
    <xf numFmtId="0" fontId="39" fillId="6" borderId="0" xfId="0" applyFont="1" applyFill="1" applyAlignment="1" applyProtection="1">
      <alignment horizontal="left" vertical="center" wrapText="1"/>
      <protection locked="0"/>
    </xf>
    <xf numFmtId="0" fontId="39" fillId="6" borderId="67" xfId="0" applyFont="1" applyFill="1" applyBorder="1" applyAlignment="1" applyProtection="1">
      <alignment horizontal="center" vertical="center"/>
      <protection locked="0"/>
    </xf>
    <xf numFmtId="17" fontId="25" fillId="6" borderId="17" xfId="0" applyNumberFormat="1" applyFont="1" applyFill="1" applyBorder="1" applyAlignment="1" applyProtection="1">
      <alignment horizontal="center" vertical="center" wrapText="1"/>
      <protection locked="0"/>
    </xf>
    <xf numFmtId="17" fontId="39" fillId="6" borderId="17" xfId="0" applyNumberFormat="1" applyFont="1" applyFill="1" applyBorder="1" applyAlignment="1" applyProtection="1">
      <alignment horizontal="center" vertical="center"/>
      <protection locked="0"/>
    </xf>
    <xf numFmtId="165" fontId="39" fillId="0" borderId="70" xfId="0" applyNumberFormat="1" applyFont="1" applyBorder="1" applyAlignment="1">
      <alignment vertical="center"/>
    </xf>
    <xf numFmtId="0" fontId="40" fillId="0" borderId="17" xfId="0" applyFont="1" applyBorder="1" applyAlignment="1">
      <alignment vertical="center"/>
    </xf>
    <xf numFmtId="0" fontId="40" fillId="0" borderId="17" xfId="0" applyFont="1" applyBorder="1" applyAlignment="1">
      <alignment horizontal="left" vertical="center"/>
    </xf>
    <xf numFmtId="0" fontId="40" fillId="0" borderId="17" xfId="0" applyFont="1" applyBorder="1" applyAlignment="1">
      <alignment horizontal="center" vertical="center"/>
    </xf>
    <xf numFmtId="0" fontId="40" fillId="6" borderId="42" xfId="0" applyFont="1" applyFill="1" applyBorder="1" applyAlignment="1" applyProtection="1">
      <alignment horizontal="center" vertical="center" wrapText="1"/>
      <protection locked="0"/>
    </xf>
    <xf numFmtId="0" fontId="40" fillId="6" borderId="42" xfId="0" applyFont="1" applyFill="1" applyBorder="1" applyAlignment="1" applyProtection="1">
      <alignment horizontal="left" vertical="center" wrapText="1"/>
      <protection locked="0"/>
    </xf>
    <xf numFmtId="0" fontId="40" fillId="6" borderId="42" xfId="0" applyFont="1" applyFill="1" applyBorder="1" applyAlignment="1" applyProtection="1">
      <alignment vertical="center" wrapText="1"/>
      <protection locked="0"/>
    </xf>
    <xf numFmtId="167" fontId="40" fillId="6" borderId="42" xfId="0" applyNumberFormat="1" applyFont="1" applyFill="1" applyBorder="1" applyAlignment="1" applyProtection="1">
      <alignment vertical="center" wrapText="1"/>
      <protection locked="0"/>
    </xf>
    <xf numFmtId="165" fontId="40" fillId="6" borderId="42" xfId="0" applyNumberFormat="1" applyFont="1" applyFill="1" applyBorder="1" applyAlignment="1" applyProtection="1">
      <alignment vertical="center" wrapText="1"/>
      <protection locked="0"/>
    </xf>
    <xf numFmtId="165" fontId="40" fillId="0" borderId="45" xfId="0" applyNumberFormat="1" applyFont="1" applyBorder="1" applyAlignment="1">
      <alignment vertical="center"/>
    </xf>
    <xf numFmtId="0" fontId="40" fillId="6" borderId="71" xfId="0" applyFont="1" applyFill="1" applyBorder="1" applyAlignment="1" applyProtection="1">
      <alignment vertical="center" wrapText="1"/>
      <protection locked="0"/>
    </xf>
    <xf numFmtId="0" fontId="40" fillId="6" borderId="71" xfId="0" applyFont="1" applyFill="1" applyBorder="1" applyAlignment="1" applyProtection="1">
      <alignment horizontal="center" vertical="center" wrapText="1"/>
      <protection locked="0"/>
    </xf>
    <xf numFmtId="165" fontId="40" fillId="0" borderId="42" xfId="0" applyNumberFormat="1" applyFont="1" applyBorder="1" applyAlignment="1">
      <alignment vertical="center"/>
    </xf>
    <xf numFmtId="0" fontId="38" fillId="0" borderId="18" xfId="0" applyFont="1" applyBorder="1" applyAlignment="1">
      <alignment horizontal="center"/>
    </xf>
    <xf numFmtId="0" fontId="38" fillId="0" borderId="29" xfId="0" applyFont="1" applyBorder="1" applyAlignment="1">
      <alignment horizontal="center"/>
    </xf>
    <xf numFmtId="0" fontId="38" fillId="0" borderId="70" xfId="0" applyFont="1" applyBorder="1" applyAlignment="1">
      <alignment horizontal="center"/>
    </xf>
    <xf numFmtId="0" fontId="0" fillId="0" borderId="68" xfId="0" applyBorder="1"/>
    <xf numFmtId="0" fontId="0" fillId="0" borderId="33" xfId="0" applyBorder="1"/>
    <xf numFmtId="165" fontId="0" fillId="0" borderId="33" xfId="0" applyNumberFormat="1" applyBorder="1"/>
    <xf numFmtId="165" fontId="0" fillId="0" borderId="44" xfId="0" applyNumberFormat="1" applyBorder="1"/>
    <xf numFmtId="0" fontId="0" fillId="0" borderId="69" xfId="0" applyBorder="1"/>
    <xf numFmtId="165" fontId="0" fillId="0" borderId="50" xfId="0" applyNumberFormat="1" applyBorder="1"/>
    <xf numFmtId="165" fontId="14" fillId="3" borderId="108" xfId="1" applyNumberFormat="1" applyFont="1" applyFill="1" applyBorder="1" applyAlignment="1" applyProtection="1">
      <alignment vertical="center" wrapText="1"/>
      <protection locked="0"/>
    </xf>
    <xf numFmtId="0" fontId="6" fillId="0" borderId="69" xfId="0" applyFont="1" applyBorder="1" applyAlignment="1">
      <alignment horizontal="right" vertical="center" wrapText="1"/>
    </xf>
    <xf numFmtId="0" fontId="6" fillId="0" borderId="0" xfId="0" applyFont="1" applyAlignment="1">
      <alignment horizontal="right" vertical="center" wrapText="1"/>
    </xf>
    <xf numFmtId="165" fontId="6" fillId="0" borderId="50" xfId="0" applyNumberFormat="1" applyFont="1" applyBorder="1" applyAlignment="1">
      <alignment horizontal="center" vertical="center" wrapText="1"/>
    </xf>
    <xf numFmtId="0" fontId="35" fillId="0" borderId="0" xfId="0" applyFont="1" applyAlignment="1">
      <alignment vertical="center"/>
    </xf>
    <xf numFmtId="0" fontId="0" fillId="0" borderId="98" xfId="0" applyBorder="1"/>
    <xf numFmtId="0" fontId="0" fillId="0" borderId="49" xfId="0" applyBorder="1"/>
    <xf numFmtId="165" fontId="0" fillId="0" borderId="49" xfId="0" applyNumberFormat="1" applyBorder="1"/>
    <xf numFmtId="165" fontId="0" fillId="0" borderId="99" xfId="0" applyNumberFormat="1" applyBorder="1"/>
    <xf numFmtId="10" fontId="5" fillId="0" borderId="109" xfId="6" applyNumberFormat="1" applyFont="1" applyBorder="1" applyAlignment="1">
      <alignment vertical="center"/>
    </xf>
    <xf numFmtId="0" fontId="5" fillId="0" borderId="110" xfId="0" applyFont="1" applyBorder="1" applyAlignment="1">
      <alignment horizontal="center" vertical="center"/>
    </xf>
    <xf numFmtId="0" fontId="4" fillId="0" borderId="34" xfId="1" applyFont="1" applyBorder="1" applyAlignment="1">
      <alignment vertical="center" wrapText="1"/>
    </xf>
    <xf numFmtId="0" fontId="14" fillId="3" borderId="111" xfId="1" applyFont="1" applyFill="1" applyBorder="1" applyAlignment="1" applyProtection="1">
      <alignment horizontal="center" vertical="center" wrapText="1"/>
      <protection locked="0"/>
    </xf>
    <xf numFmtId="0" fontId="7" fillId="0" borderId="106" xfId="0" applyFont="1" applyBorder="1" applyAlignment="1">
      <alignment horizontal="center" vertical="center" wrapText="1"/>
    </xf>
    <xf numFmtId="0" fontId="6" fillId="3" borderId="112" xfId="0" applyFont="1" applyFill="1" applyBorder="1" applyAlignment="1">
      <alignment horizontal="center" vertical="center" wrapText="1"/>
    </xf>
    <xf numFmtId="0" fontId="7" fillId="2" borderId="106" xfId="0" applyFont="1" applyFill="1" applyBorder="1" applyAlignment="1">
      <alignment horizontal="center" vertical="center" wrapText="1"/>
    </xf>
    <xf numFmtId="0" fontId="7" fillId="0" borderId="66" xfId="0" applyFont="1" applyBorder="1" applyAlignment="1">
      <alignment horizontal="center" vertical="center" wrapText="1"/>
    </xf>
    <xf numFmtId="4" fontId="9" fillId="0" borderId="32" xfId="0" applyNumberFormat="1" applyFont="1" applyBorder="1" applyAlignment="1">
      <alignment horizontal="left" vertical="center" wrapText="1"/>
    </xf>
    <xf numFmtId="0" fontId="9" fillId="0" borderId="0" xfId="0" applyFont="1" applyBorder="1" applyAlignment="1">
      <alignment horizontal="left" vertical="center" wrapText="1"/>
    </xf>
    <xf numFmtId="0" fontId="0" fillId="0" borderId="20" xfId="0" applyBorder="1"/>
    <xf numFmtId="0" fontId="0" fillId="0" borderId="0" xfId="0" applyBorder="1"/>
    <xf numFmtId="0" fontId="0" fillId="0" borderId="21" xfId="0" applyBorder="1"/>
    <xf numFmtId="0" fontId="0" fillId="0" borderId="46" xfId="0" applyBorder="1"/>
    <xf numFmtId="0" fontId="0" fillId="0" borderId="34" xfId="0" applyBorder="1"/>
    <xf numFmtId="0" fontId="0" fillId="0" borderId="35" xfId="0" applyBorder="1"/>
    <xf numFmtId="0" fontId="38" fillId="0" borderId="18" xfId="0" applyFont="1" applyBorder="1" applyAlignment="1">
      <alignment horizontal="center" wrapText="1"/>
    </xf>
    <xf numFmtId="0" fontId="38" fillId="0" borderId="29" xfId="0" applyFont="1" applyBorder="1" applyAlignment="1">
      <alignment horizontal="center" wrapText="1"/>
    </xf>
    <xf numFmtId="0" fontId="38" fillId="0" borderId="70" xfId="0" applyFont="1" applyBorder="1" applyAlignment="1">
      <alignment horizontal="center" wrapText="1"/>
    </xf>
    <xf numFmtId="4" fontId="9" fillId="0" borderId="17" xfId="0" applyNumberFormat="1" applyFont="1" applyBorder="1" applyAlignment="1">
      <alignment horizontal="left" vertical="center" wrapText="1"/>
    </xf>
    <xf numFmtId="4" fontId="9" fillId="0" borderId="58" xfId="0" applyNumberFormat="1" applyFont="1" applyBorder="1" applyAlignment="1">
      <alignment horizontal="left" vertical="center" wrapText="1"/>
    </xf>
    <xf numFmtId="4" fontId="9" fillId="0" borderId="17" xfId="0" quotePrefix="1" applyNumberFormat="1" applyFont="1" applyBorder="1" applyAlignment="1">
      <alignment horizontal="left" vertical="center" wrapText="1"/>
    </xf>
    <xf numFmtId="0" fontId="5" fillId="3" borderId="66"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15" fillId="3" borderId="62" xfId="1" applyFont="1" applyFill="1" applyBorder="1" applyAlignment="1" applyProtection="1">
      <alignment horizontal="left" vertical="center" wrapText="1"/>
      <protection locked="0"/>
    </xf>
    <xf numFmtId="0" fontId="15" fillId="3" borderId="63" xfId="1" applyFont="1" applyFill="1" applyBorder="1" applyAlignment="1" applyProtection="1">
      <alignment horizontal="left" vertical="center" wrapText="1"/>
      <protection locked="0"/>
    </xf>
    <xf numFmtId="0" fontId="14" fillId="3" borderId="64" xfId="1" applyFont="1" applyFill="1" applyBorder="1" applyAlignment="1" applyProtection="1">
      <alignment horizontal="center" vertical="center" wrapText="1"/>
      <protection locked="0"/>
    </xf>
    <xf numFmtId="0" fontId="14" fillId="3" borderId="21" xfId="1" applyFont="1" applyFill="1" applyBorder="1" applyAlignment="1" applyProtection="1">
      <alignment horizontal="center" vertical="center" wrapText="1"/>
      <protection locked="0"/>
    </xf>
    <xf numFmtId="4" fontId="9" fillId="0" borderId="18" xfId="0" applyNumberFormat="1" applyFont="1" applyBorder="1" applyAlignment="1">
      <alignment horizontal="left" vertical="center" wrapText="1"/>
    </xf>
    <xf numFmtId="4" fontId="9" fillId="0" borderId="32" xfId="0" applyNumberFormat="1" applyFont="1" applyBorder="1" applyAlignment="1">
      <alignment horizontal="left" vertical="center" wrapText="1"/>
    </xf>
    <xf numFmtId="0" fontId="5" fillId="3" borderId="36"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51" xfId="0" applyFont="1" applyFill="1" applyBorder="1" applyAlignment="1">
      <alignment horizontal="center" vertical="center" wrapText="1"/>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51" xfId="1" applyFont="1" applyBorder="1" applyAlignment="1">
      <alignment horizontal="center" vertical="center"/>
    </xf>
    <xf numFmtId="0" fontId="22" fillId="0" borderId="66" xfId="1" applyFont="1" applyBorder="1" applyAlignment="1">
      <alignment horizontal="left" vertical="center"/>
    </xf>
    <xf numFmtId="0" fontId="22" fillId="0" borderId="29" xfId="1" applyFont="1" applyBorder="1" applyAlignment="1">
      <alignment horizontal="left" vertical="center"/>
    </xf>
    <xf numFmtId="0" fontId="22" fillId="0" borderId="32" xfId="1" applyFont="1" applyBorder="1" applyAlignment="1">
      <alignment horizontal="left" vertical="center"/>
    </xf>
    <xf numFmtId="165" fontId="16" fillId="3" borderId="31" xfId="1" applyNumberFormat="1" applyFont="1" applyFill="1" applyBorder="1" applyAlignment="1">
      <alignment horizontal="center" vertical="center" wrapText="1"/>
    </xf>
    <xf numFmtId="165" fontId="16" fillId="3" borderId="26" xfId="1" applyNumberFormat="1" applyFont="1" applyFill="1" applyBorder="1" applyAlignment="1">
      <alignment horizontal="center" vertical="center" wrapText="1"/>
    </xf>
    <xf numFmtId="4" fontId="9" fillId="0" borderId="18" xfId="0" applyNumberFormat="1" applyFont="1" applyBorder="1" applyAlignment="1">
      <alignment horizontal="center" vertical="center" wrapText="1"/>
    </xf>
    <xf numFmtId="4" fontId="9" fillId="0" borderId="32" xfId="0" applyNumberFormat="1" applyFont="1" applyBorder="1" applyAlignment="1">
      <alignment horizontal="center" vertical="center" wrapText="1"/>
    </xf>
    <xf numFmtId="0" fontId="6" fillId="0" borderId="77" xfId="0" applyFont="1" applyBorder="1" applyAlignment="1">
      <alignment horizontal="right" vertical="center" wrapText="1"/>
    </xf>
    <xf numFmtId="0" fontId="6" fillId="0" borderId="37" xfId="0" applyFont="1" applyBorder="1" applyAlignment="1">
      <alignment horizontal="right" vertical="center" wrapText="1"/>
    </xf>
    <xf numFmtId="0" fontId="6" fillId="0" borderId="97" xfId="0" applyFont="1" applyBorder="1" applyAlignment="1">
      <alignment horizontal="right" vertical="center" wrapText="1"/>
    </xf>
    <xf numFmtId="0" fontId="8" fillId="0" borderId="88" xfId="0" applyFont="1" applyBorder="1" applyAlignment="1">
      <alignment horizontal="left" vertical="center" wrapText="1"/>
    </xf>
    <xf numFmtId="0" fontId="4" fillId="0" borderId="7" xfId="0" applyFont="1" applyBorder="1" applyAlignment="1">
      <alignment wrapText="1"/>
    </xf>
    <xf numFmtId="0" fontId="4" fillId="0" borderId="8" xfId="0" applyFont="1" applyBorder="1" applyAlignment="1">
      <alignment wrapText="1"/>
    </xf>
    <xf numFmtId="0" fontId="5" fillId="0" borderId="9" xfId="0" applyFont="1" applyBorder="1" applyAlignment="1">
      <alignment horizontal="center" vertical="center"/>
    </xf>
    <xf numFmtId="0" fontId="5" fillId="0" borderId="12" xfId="0" applyFont="1" applyBorder="1" applyAlignment="1">
      <alignment horizontal="center" vertical="center"/>
    </xf>
    <xf numFmtId="0" fontId="5" fillId="0" borderId="90" xfId="0" applyFont="1" applyBorder="1" applyAlignment="1">
      <alignment horizontal="center" vertical="center"/>
    </xf>
    <xf numFmtId="0" fontId="5" fillId="0" borderId="91" xfId="0" applyFont="1" applyBorder="1" applyAlignment="1">
      <alignment horizontal="left" vertical="center" wrapText="1"/>
    </xf>
    <xf numFmtId="0" fontId="5" fillId="0" borderId="74" xfId="0" applyFont="1" applyBorder="1" applyAlignment="1">
      <alignment horizontal="left" vertical="center" wrapText="1"/>
    </xf>
    <xf numFmtId="0" fontId="5" fillId="0" borderId="11" xfId="0" applyFont="1" applyBorder="1" applyAlignment="1">
      <alignment horizontal="left" vertical="center" wrapText="1"/>
    </xf>
    <xf numFmtId="0" fontId="5" fillId="0" borderId="92" xfId="0" applyFont="1" applyBorder="1" applyAlignment="1">
      <alignment horizontal="left" vertical="center" wrapText="1"/>
    </xf>
    <xf numFmtId="0" fontId="5" fillId="0" borderId="34" xfId="0" applyFont="1" applyBorder="1" applyAlignment="1">
      <alignment horizontal="left" vertical="center" wrapText="1"/>
    </xf>
    <xf numFmtId="0" fontId="5" fillId="0" borderId="75" xfId="0" applyFont="1" applyBorder="1" applyAlignment="1">
      <alignment horizontal="left" vertical="center" wrapText="1"/>
    </xf>
    <xf numFmtId="0" fontId="5" fillId="3" borderId="77" xfId="0" applyFont="1" applyFill="1" applyBorder="1" applyAlignment="1">
      <alignment horizontal="center" vertical="center" wrapText="1"/>
    </xf>
    <xf numFmtId="0" fontId="5" fillId="3" borderId="97" xfId="0" applyFont="1" applyFill="1" applyBorder="1" applyAlignment="1">
      <alignment horizontal="center" vertical="center" wrapText="1"/>
    </xf>
    <xf numFmtId="0" fontId="5" fillId="3" borderId="98" xfId="0" applyFont="1" applyFill="1" applyBorder="1" applyAlignment="1">
      <alignment horizontal="center" vertical="center" wrapText="1"/>
    </xf>
    <xf numFmtId="0" fontId="5" fillId="3" borderId="49" xfId="0" applyFont="1" applyFill="1" applyBorder="1" applyAlignment="1">
      <alignment horizontal="center" vertical="center" wrapText="1"/>
    </xf>
    <xf numFmtId="0" fontId="5" fillId="3" borderId="99"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70" xfId="0" applyFont="1" applyFill="1" applyBorder="1" applyAlignment="1">
      <alignment horizontal="center" vertical="center" wrapText="1"/>
    </xf>
    <xf numFmtId="0" fontId="36" fillId="0" borderId="69" xfId="0" applyFont="1" applyBorder="1" applyAlignment="1">
      <alignment horizontal="center" wrapText="1"/>
    </xf>
    <xf numFmtId="0" fontId="36" fillId="0" borderId="0" xfId="0" applyFont="1" applyAlignment="1">
      <alignment horizontal="center" wrapText="1"/>
    </xf>
    <xf numFmtId="0" fontId="36" fillId="0" borderId="50" xfId="0" applyFont="1" applyBorder="1" applyAlignment="1">
      <alignment horizontal="center" wrapText="1"/>
    </xf>
    <xf numFmtId="0" fontId="0" fillId="0" borderId="69" xfId="0" applyBorder="1" applyAlignment="1">
      <alignment horizontal="center" wrapText="1"/>
    </xf>
    <xf numFmtId="0" fontId="0" fillId="0" borderId="0" xfId="0" applyAlignment="1">
      <alignment horizontal="center" wrapText="1"/>
    </xf>
    <xf numFmtId="0" fontId="0" fillId="0" borderId="50" xfId="0" applyBorder="1" applyAlignment="1">
      <alignment horizontal="center" wrapText="1"/>
    </xf>
    <xf numFmtId="0" fontId="34" fillId="0" borderId="69" xfId="0" applyFont="1" applyBorder="1" applyAlignment="1">
      <alignment horizontal="center" wrapText="1"/>
    </xf>
    <xf numFmtId="0" fontId="34" fillId="0" borderId="0" xfId="0" applyFont="1" applyAlignment="1">
      <alignment horizontal="center" wrapText="1"/>
    </xf>
    <xf numFmtId="0" fontId="34" fillId="0" borderId="50" xfId="0" applyFont="1" applyBorder="1" applyAlignment="1">
      <alignment horizontal="center" wrapText="1"/>
    </xf>
    <xf numFmtId="0" fontId="34" fillId="0" borderId="69" xfId="0" applyFont="1" applyBorder="1" applyAlignment="1">
      <alignment horizontal="center"/>
    </xf>
    <xf numFmtId="0" fontId="34" fillId="0" borderId="0" xfId="0" applyFont="1" applyAlignment="1">
      <alignment horizontal="center"/>
    </xf>
    <xf numFmtId="0" fontId="34" fillId="0" borderId="50" xfId="0" applyFont="1" applyBorder="1" applyAlignment="1">
      <alignment horizontal="center"/>
    </xf>
    <xf numFmtId="0" fontId="14" fillId="3" borderId="50" xfId="1" applyFont="1" applyFill="1" applyBorder="1" applyAlignment="1" applyProtection="1">
      <alignment horizontal="center" vertical="center" wrapText="1"/>
      <protection locked="0"/>
    </xf>
    <xf numFmtId="0" fontId="0" fillId="0" borderId="78" xfId="0" applyBorder="1" applyAlignment="1">
      <alignment horizontal="center"/>
    </xf>
    <xf numFmtId="0" fontId="4" fillId="0" borderId="1" xfId="0" applyFont="1" applyBorder="1"/>
    <xf numFmtId="0" fontId="4" fillId="0" borderId="79" xfId="0" applyFont="1" applyBorder="1"/>
    <xf numFmtId="0" fontId="5" fillId="0" borderId="82" xfId="0" applyFont="1" applyBorder="1" applyAlignment="1">
      <alignment horizontal="center" vertical="center"/>
    </xf>
    <xf numFmtId="0" fontId="4" fillId="0" borderId="14" xfId="0" applyFont="1" applyBorder="1"/>
    <xf numFmtId="0" fontId="4" fillId="0" borderId="83" xfId="0" applyFont="1" applyBorder="1"/>
    <xf numFmtId="165" fontId="5" fillId="0" borderId="6" xfId="0" applyNumberFormat="1" applyFont="1" applyBorder="1" applyAlignment="1">
      <alignment horizontal="left" vertical="center"/>
    </xf>
    <xf numFmtId="165" fontId="4" fillId="0" borderId="4" xfId="0" applyNumberFormat="1" applyFont="1" applyBorder="1"/>
    <xf numFmtId="165" fontId="4" fillId="0" borderId="87" xfId="0" applyNumberFormat="1" applyFont="1" applyBorder="1"/>
    <xf numFmtId="0" fontId="8" fillId="0" borderId="80" xfId="0" applyFont="1" applyBorder="1" applyAlignment="1">
      <alignment horizontal="center" vertical="center"/>
    </xf>
    <xf numFmtId="0" fontId="8" fillId="0" borderId="2" xfId="0" applyFont="1" applyBorder="1" applyAlignment="1">
      <alignment horizontal="center" vertical="center"/>
    </xf>
    <xf numFmtId="0" fontId="8" fillId="0" borderId="81" xfId="0" applyFont="1" applyBorder="1" applyAlignment="1">
      <alignment horizontal="center" vertical="center"/>
    </xf>
    <xf numFmtId="0" fontId="5" fillId="0" borderId="69" xfId="0" applyFont="1" applyBorder="1" applyAlignment="1">
      <alignment horizontal="center" vertical="center" wrapText="1"/>
    </xf>
    <xf numFmtId="0" fontId="4" fillId="0" borderId="0" xfId="0" applyFont="1"/>
    <xf numFmtId="0" fontId="4" fillId="0" borderId="50" xfId="0" applyFont="1" applyBorder="1"/>
    <xf numFmtId="0" fontId="5" fillId="0" borderId="88"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31" fillId="0" borderId="36" xfId="0" applyFont="1" applyBorder="1" applyAlignment="1">
      <alignment horizontal="left" vertical="center"/>
    </xf>
    <xf numFmtId="0" fontId="31" fillId="0" borderId="37" xfId="0" applyFont="1" applyBorder="1" applyAlignment="1">
      <alignment horizontal="left" vertical="center"/>
    </xf>
    <xf numFmtId="0" fontId="31" fillId="0" borderId="97" xfId="0" applyFont="1" applyBorder="1" applyAlignment="1">
      <alignment horizontal="left" vertical="center"/>
    </xf>
    <xf numFmtId="0" fontId="31" fillId="0" borderId="55" xfId="0" applyFont="1" applyBorder="1" applyAlignment="1">
      <alignment horizontal="left" vertical="center" wrapText="1"/>
    </xf>
    <xf numFmtId="0" fontId="31" fillId="0" borderId="77" xfId="0" applyFont="1" applyBorder="1" applyAlignment="1">
      <alignment horizontal="left" vertical="center" wrapText="1"/>
    </xf>
    <xf numFmtId="0" fontId="31" fillId="0" borderId="102" xfId="0" applyFont="1" applyBorder="1" applyAlignment="1">
      <alignment horizontal="left" vertical="center" wrapText="1"/>
    </xf>
    <xf numFmtId="0" fontId="30" fillId="0" borderId="20" xfId="0" applyFont="1" applyBorder="1" applyAlignment="1">
      <alignment horizontal="center"/>
    </xf>
    <xf numFmtId="0" fontId="30" fillId="0" borderId="0" xfId="0" applyFont="1" applyAlignment="1">
      <alignment horizontal="center"/>
    </xf>
    <xf numFmtId="0" fontId="30" fillId="0" borderId="21" xfId="0" applyFont="1" applyBorder="1" applyAlignment="1">
      <alignment horizontal="center"/>
    </xf>
    <xf numFmtId="0" fontId="22" fillId="0" borderId="20" xfId="0" applyFont="1" applyBorder="1" applyAlignment="1">
      <alignment horizontal="center"/>
    </xf>
    <xf numFmtId="0" fontId="22" fillId="0" borderId="0" xfId="0" applyFont="1" applyAlignment="1">
      <alignment horizontal="center"/>
    </xf>
    <xf numFmtId="0" fontId="22" fillId="0" borderId="21" xfId="0" applyFont="1" applyBorder="1" applyAlignment="1">
      <alignment horizontal="center"/>
    </xf>
    <xf numFmtId="0" fontId="29" fillId="0" borderId="20" xfId="0" applyFont="1" applyBorder="1" applyAlignment="1">
      <alignment horizontal="center"/>
    </xf>
    <xf numFmtId="0" fontId="29" fillId="0" borderId="0" xfId="0" applyFont="1" applyAlignment="1">
      <alignment horizontal="center"/>
    </xf>
    <xf numFmtId="0" fontId="29" fillId="0" borderId="21" xfId="0" applyFont="1" applyBorder="1" applyAlignment="1">
      <alignment horizontal="center"/>
    </xf>
    <xf numFmtId="0" fontId="29" fillId="0" borderId="46" xfId="0" applyFont="1" applyBorder="1" applyAlignment="1">
      <alignment horizontal="center"/>
    </xf>
    <xf numFmtId="0" fontId="29" fillId="0" borderId="34" xfId="0" applyFont="1" applyBorder="1" applyAlignment="1">
      <alignment horizontal="center"/>
    </xf>
    <xf numFmtId="0" fontId="29" fillId="0" borderId="35" xfId="0" applyFont="1" applyBorder="1" applyAlignment="1">
      <alignment horizontal="center"/>
    </xf>
    <xf numFmtId="0" fontId="33" fillId="0" borderId="106" xfId="0" applyFont="1" applyBorder="1"/>
    <xf numFmtId="0" fontId="33" fillId="0" borderId="17" xfId="0" applyFont="1" applyBorder="1"/>
    <xf numFmtId="0" fontId="33" fillId="0" borderId="58" xfId="0" applyFont="1" applyBorder="1"/>
    <xf numFmtId="0" fontId="31" fillId="0" borderId="66" xfId="0" applyFont="1" applyBorder="1" applyAlignment="1">
      <alignment horizontal="left" vertical="center"/>
    </xf>
    <xf numFmtId="0" fontId="31" fillId="0" borderId="29" xfId="0" applyFont="1" applyBorder="1" applyAlignment="1">
      <alignment horizontal="left" vertical="center"/>
    </xf>
    <xf numFmtId="0" fontId="31" fillId="0" borderId="70" xfId="0" applyFont="1" applyBorder="1" applyAlignment="1">
      <alignment horizontal="left" vertical="center"/>
    </xf>
    <xf numFmtId="168" fontId="31" fillId="0" borderId="17" xfId="0" applyNumberFormat="1" applyFont="1" applyBorder="1" applyAlignment="1">
      <alignment horizontal="left" vertical="center"/>
    </xf>
    <xf numFmtId="0" fontId="31" fillId="0" borderId="18" xfId="0" applyFont="1" applyBorder="1" applyAlignment="1">
      <alignment horizontal="left" vertical="center"/>
    </xf>
    <xf numFmtId="0" fontId="31" fillId="0" borderId="58" xfId="0" applyFont="1" applyBorder="1" applyAlignment="1">
      <alignment horizontal="left" vertical="center"/>
    </xf>
    <xf numFmtId="0" fontId="31" fillId="0" borderId="18" xfId="0" applyFont="1" applyBorder="1" applyAlignment="1">
      <alignment horizontal="center" vertical="center"/>
    </xf>
    <xf numFmtId="0" fontId="31" fillId="0" borderId="29" xfId="0" applyFont="1" applyBorder="1" applyAlignment="1">
      <alignment horizontal="center" vertical="center"/>
    </xf>
    <xf numFmtId="0" fontId="31" fillId="0" borderId="32" xfId="0" applyFont="1" applyBorder="1" applyAlignment="1">
      <alignment horizontal="center" vertical="center"/>
    </xf>
    <xf numFmtId="0" fontId="31" fillId="0" borderId="68" xfId="0" applyFont="1" applyBorder="1" applyAlignment="1">
      <alignment horizontal="center" vertical="center"/>
    </xf>
    <xf numFmtId="0" fontId="31" fillId="0" borderId="92" xfId="0" applyFont="1" applyBorder="1" applyAlignment="1">
      <alignment horizontal="center" vertical="center"/>
    </xf>
    <xf numFmtId="0" fontId="31" fillId="2" borderId="44" xfId="0" applyFont="1" applyFill="1" applyBorder="1" applyAlignment="1">
      <alignment horizontal="left" vertical="center"/>
    </xf>
    <xf numFmtId="0" fontId="31" fillId="2" borderId="47" xfId="0" applyFont="1" applyFill="1" applyBorder="1" applyAlignment="1">
      <alignment horizontal="left" vertical="center"/>
    </xf>
    <xf numFmtId="0" fontId="31" fillId="0" borderId="46" xfId="0" applyFont="1" applyBorder="1" applyAlignment="1">
      <alignment horizontal="left" vertical="center" wrapText="1"/>
    </xf>
    <xf numFmtId="0" fontId="31" fillId="0" borderId="34" xfId="0" applyFont="1" applyBorder="1" applyAlignment="1">
      <alignment horizontal="left" vertical="center" wrapText="1"/>
    </xf>
    <xf numFmtId="0" fontId="31" fillId="0" borderId="47" xfId="0" applyFont="1" applyBorder="1" applyAlignment="1">
      <alignment horizontal="left" vertical="center" wrapText="1"/>
    </xf>
    <xf numFmtId="0" fontId="32" fillId="0" borderId="20" xfId="0" applyFont="1" applyBorder="1" applyAlignment="1">
      <alignment horizontal="center"/>
    </xf>
    <xf numFmtId="0" fontId="32" fillId="0" borderId="0" xfId="0" applyFont="1" applyAlignment="1">
      <alignment horizontal="center"/>
    </xf>
    <xf numFmtId="0" fontId="32" fillId="0" borderId="21" xfId="0" applyFont="1" applyBorder="1" applyAlignment="1">
      <alignment horizontal="center"/>
    </xf>
    <xf numFmtId="0" fontId="22" fillId="0" borderId="106" xfId="0" applyFont="1" applyBorder="1" applyAlignment="1">
      <alignment horizontal="center"/>
    </xf>
    <xf numFmtId="0" fontId="22" fillId="0" borderId="17" xfId="0" applyFont="1" applyBorder="1" applyAlignment="1">
      <alignment horizontal="center"/>
    </xf>
    <xf numFmtId="0" fontId="22" fillId="0" borderId="58" xfId="0" applyFont="1" applyBorder="1" applyAlignment="1">
      <alignment horizontal="center"/>
    </xf>
    <xf numFmtId="0" fontId="33" fillId="0" borderId="17" xfId="0" applyFont="1" applyBorder="1" applyAlignment="1">
      <alignment horizontal="center"/>
    </xf>
    <xf numFmtId="0" fontId="33" fillId="0" borderId="107" xfId="0" applyFont="1" applyBorder="1" applyAlignment="1">
      <alignment horizontal="center"/>
    </xf>
    <xf numFmtId="0" fontId="33" fillId="0" borderId="105" xfId="0" applyFont="1" applyBorder="1" applyAlignment="1">
      <alignment horizontal="center"/>
    </xf>
    <xf numFmtId="0" fontId="33" fillId="0" borderId="46" xfId="0" applyFont="1" applyBorder="1"/>
    <xf numFmtId="0" fontId="33" fillId="0" borderId="34" xfId="0" applyFont="1" applyBorder="1"/>
    <xf numFmtId="0" fontId="33" fillId="0" borderId="35" xfId="0" applyFont="1" applyBorder="1"/>
    <xf numFmtId="0" fontId="33" fillId="0" borderId="17" xfId="0" applyFont="1" applyBorder="1" applyAlignment="1">
      <alignment horizontal="center" vertical="center"/>
    </xf>
    <xf numFmtId="0" fontId="22" fillId="3" borderId="17" xfId="0" applyFont="1" applyFill="1" applyBorder="1" applyAlignment="1">
      <alignment vertical="center"/>
    </xf>
    <xf numFmtId="10" fontId="22" fillId="3" borderId="17" xfId="3" applyNumberFormat="1" applyFont="1" applyFill="1" applyBorder="1" applyAlignment="1">
      <alignment vertical="center"/>
    </xf>
    <xf numFmtId="0" fontId="12" fillId="4" borderId="19" xfId="1" applyFill="1" applyBorder="1" applyAlignment="1">
      <alignment horizontal="left" vertical="center" wrapText="1"/>
    </xf>
    <xf numFmtId="0" fontId="12" fillId="4" borderId="40" xfId="1" applyFill="1" applyBorder="1" applyAlignment="1">
      <alignment horizontal="left" vertical="center" wrapText="1"/>
    </xf>
    <xf numFmtId="0" fontId="12" fillId="4" borderId="39" xfId="1" applyFill="1" applyBorder="1" applyAlignment="1">
      <alignment horizontal="center" vertical="center" wrapText="1"/>
    </xf>
    <xf numFmtId="0" fontId="12" fillId="4" borderId="41" xfId="1" applyFill="1" applyBorder="1" applyAlignment="1">
      <alignment horizontal="center" vertical="center" wrapText="1"/>
    </xf>
    <xf numFmtId="0" fontId="8" fillId="4" borderId="43" xfId="1" applyFont="1" applyFill="1" applyBorder="1" applyAlignment="1">
      <alignment horizontal="center" vertical="center" wrapText="1"/>
    </xf>
    <xf numFmtId="0" fontId="8" fillId="4" borderId="44" xfId="1" applyFont="1" applyFill="1" applyBorder="1" applyAlignment="1">
      <alignment horizontal="center" vertical="center" wrapText="1"/>
    </xf>
    <xf numFmtId="0" fontId="8" fillId="4" borderId="46" xfId="1" applyFont="1" applyFill="1" applyBorder="1" applyAlignment="1">
      <alignment horizontal="center" vertical="center" wrapText="1"/>
    </xf>
    <xf numFmtId="0" fontId="8" fillId="4" borderId="47" xfId="1" applyFont="1" applyFill="1" applyBorder="1" applyAlignment="1">
      <alignment horizontal="center" vertical="center" wrapText="1"/>
    </xf>
    <xf numFmtId="0" fontId="8" fillId="4" borderId="49" xfId="1" applyFont="1" applyFill="1" applyBorder="1" applyAlignment="1">
      <alignment horizontal="center" wrapText="1"/>
    </xf>
    <xf numFmtId="0" fontId="16" fillId="4" borderId="27" xfId="1" applyFont="1" applyFill="1" applyBorder="1" applyAlignment="1">
      <alignment horizontal="center"/>
    </xf>
    <xf numFmtId="0" fontId="16" fillId="4" borderId="28" xfId="1" applyFont="1" applyFill="1" applyBorder="1" applyAlignment="1">
      <alignment horizontal="center"/>
    </xf>
    <xf numFmtId="0" fontId="16" fillId="4" borderId="38" xfId="1" applyFont="1" applyFill="1" applyBorder="1" applyAlignment="1">
      <alignment horizontal="center"/>
    </xf>
    <xf numFmtId="0" fontId="8" fillId="4" borderId="13" xfId="1" applyFont="1" applyFill="1" applyBorder="1" applyAlignment="1">
      <alignment horizontal="center" vertical="center"/>
    </xf>
    <xf numFmtId="0" fontId="8" fillId="4" borderId="14" xfId="1" applyFont="1" applyFill="1" applyBorder="1" applyAlignment="1">
      <alignment horizontal="center" vertical="center"/>
    </xf>
    <xf numFmtId="0" fontId="8" fillId="4" borderId="15" xfId="1" applyFont="1" applyFill="1" applyBorder="1" applyAlignment="1">
      <alignment horizontal="center" vertical="center"/>
    </xf>
    <xf numFmtId="0" fontId="8" fillId="4" borderId="46" xfId="1" applyFont="1" applyFill="1" applyBorder="1" applyAlignment="1">
      <alignment horizontal="center" vertical="center"/>
    </xf>
    <xf numFmtId="0" fontId="8" fillId="4" borderId="34" xfId="1" applyFont="1" applyFill="1" applyBorder="1" applyAlignment="1">
      <alignment horizontal="center" vertical="center"/>
    </xf>
    <xf numFmtId="0" fontId="8" fillId="4" borderId="35" xfId="1" applyFont="1" applyFill="1" applyBorder="1" applyAlignment="1">
      <alignment horizontal="center" vertical="center"/>
    </xf>
    <xf numFmtId="166" fontId="8" fillId="4" borderId="28" xfId="1" applyNumberFormat="1" applyFont="1" applyFill="1" applyBorder="1" applyAlignment="1">
      <alignment horizontal="left" vertical="center"/>
    </xf>
    <xf numFmtId="0" fontId="8" fillId="4" borderId="28" xfId="1" applyFont="1" applyFill="1" applyBorder="1" applyAlignment="1">
      <alignment horizontal="left" vertical="center"/>
    </xf>
    <xf numFmtId="0" fontId="8" fillId="4" borderId="38" xfId="1" applyFont="1" applyFill="1" applyBorder="1" applyAlignment="1">
      <alignment horizontal="left" vertical="center"/>
    </xf>
    <xf numFmtId="0" fontId="8" fillId="4" borderId="27" xfId="1" applyFont="1" applyFill="1" applyBorder="1" applyAlignment="1">
      <alignment horizontal="left" vertical="center"/>
    </xf>
    <xf numFmtId="0" fontId="8" fillId="4" borderId="27" xfId="1" applyFont="1" applyFill="1" applyBorder="1" applyAlignment="1">
      <alignment horizontal="center" vertical="center"/>
    </xf>
    <xf numFmtId="0" fontId="8" fillId="4" borderId="28" xfId="1" applyFont="1" applyFill="1" applyBorder="1" applyAlignment="1">
      <alignment horizontal="center" vertical="center"/>
    </xf>
    <xf numFmtId="0" fontId="8" fillId="4" borderId="38" xfId="1" applyFont="1" applyFill="1" applyBorder="1" applyAlignment="1">
      <alignment horizontal="center" vertical="center"/>
    </xf>
    <xf numFmtId="0" fontId="4" fillId="0" borderId="27" xfId="1" applyFont="1" applyBorder="1" applyAlignment="1">
      <alignment horizontal="center" vertical="center" wrapText="1"/>
    </xf>
    <xf numFmtId="0" fontId="4" fillId="0" borderId="28" xfId="1" applyFont="1" applyBorder="1" applyAlignment="1">
      <alignment horizontal="center" vertical="center" wrapText="1"/>
    </xf>
    <xf numFmtId="0" fontId="4" fillId="0" borderId="38" xfId="1" applyFont="1" applyBorder="1" applyAlignment="1">
      <alignment horizontal="center" vertical="center" wrapText="1"/>
    </xf>
    <xf numFmtId="0" fontId="8" fillId="4" borderId="27" xfId="1" applyFont="1" applyFill="1" applyBorder="1" applyAlignment="1">
      <alignment horizontal="left" vertical="center" wrapText="1"/>
    </xf>
    <xf numFmtId="0" fontId="8" fillId="4" borderId="28" xfId="1" applyFont="1" applyFill="1" applyBorder="1" applyAlignment="1">
      <alignment horizontal="left" vertical="center" wrapText="1"/>
    </xf>
    <xf numFmtId="0" fontId="8" fillId="4" borderId="38" xfId="1" applyFont="1" applyFill="1" applyBorder="1" applyAlignment="1">
      <alignment horizontal="left" vertical="center" wrapText="1"/>
    </xf>
    <xf numFmtId="0" fontId="8" fillId="4" borderId="46" xfId="1" applyFont="1" applyFill="1" applyBorder="1" applyAlignment="1">
      <alignment horizontal="left" vertical="center" wrapText="1"/>
    </xf>
    <xf numFmtId="0" fontId="8" fillId="4" borderId="34" xfId="1" applyFont="1" applyFill="1" applyBorder="1" applyAlignment="1">
      <alignment horizontal="left" vertical="center" wrapText="1"/>
    </xf>
    <xf numFmtId="0" fontId="8" fillId="4" borderId="35" xfId="1" applyFont="1" applyFill="1" applyBorder="1" applyAlignment="1">
      <alignment horizontal="left" vertical="center" wrapText="1"/>
    </xf>
    <xf numFmtId="0" fontId="4" fillId="2" borderId="0" xfId="1" applyFont="1" applyFill="1" applyAlignment="1">
      <alignment horizontal="left" vertical="center" wrapText="1"/>
    </xf>
    <xf numFmtId="0" fontId="12" fillId="4" borderId="34" xfId="1" applyFill="1" applyBorder="1" applyAlignment="1">
      <alignment horizontal="left" vertical="center" wrapText="1"/>
    </xf>
  </cellXfs>
  <cellStyles count="12">
    <cellStyle name="Moeda" xfId="11" builtinId="4"/>
    <cellStyle name="Normal" xfId="0" builtinId="0"/>
    <cellStyle name="Normal 2" xfId="1" xr:uid="{00000000-0005-0000-0000-000001000000}"/>
    <cellStyle name="Normal 3" xfId="4" xr:uid="{00000000-0005-0000-0000-000002000000}"/>
    <cellStyle name="Normal 4" xfId="7" xr:uid="{00000000-0005-0000-0000-000003000000}"/>
    <cellStyle name="Normal 5" xfId="9" xr:uid="{00000000-0005-0000-0000-000004000000}"/>
    <cellStyle name="Porcentagem" xfId="6" builtinId="5"/>
    <cellStyle name="Porcentagem 2" xfId="3" xr:uid="{00000000-0005-0000-0000-000006000000}"/>
    <cellStyle name="Vírgula 2" xfId="8" xr:uid="{00000000-0005-0000-0000-000007000000}"/>
    <cellStyle name="Vírgula 3" xfId="2" xr:uid="{00000000-0005-0000-0000-000008000000}"/>
    <cellStyle name="Vírgula 3 2" xfId="5" xr:uid="{00000000-0005-0000-0000-000009000000}"/>
    <cellStyle name="Vírgula 4"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104775</xdr:colOff>
      <xdr:row>6</xdr:row>
      <xdr:rowOff>0</xdr:rowOff>
    </xdr:from>
    <xdr:ext cx="3724275" cy="742950"/>
    <xdr:sp macro="" textlink="">
      <xdr:nvSpPr>
        <xdr:cNvPr id="3" name="Shape 3">
          <a:extLst>
            <a:ext uri="{FF2B5EF4-FFF2-40B4-BE49-F238E27FC236}">
              <a16:creationId xmlns:a16="http://schemas.microsoft.com/office/drawing/2014/main" id="{00000000-0008-0000-0400-000003000000}"/>
            </a:ext>
          </a:extLst>
        </xdr:cNvPr>
        <xdr:cNvSpPr/>
      </xdr:nvSpPr>
      <xdr:spPr>
        <a:xfrm>
          <a:off x="3488625" y="3413288"/>
          <a:ext cx="3714750" cy="7334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7/PMBF/CAL&#199;AMENTO%20SANTA%20TEREZINHA/PLANILHA%20M&#218;LTIPLA%202.3_BIAS%20FORTES_REV%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Ramon\Desktop\Ramon%20(novo)\Prefeitura%20Ibertioga\2022\SALA%20DE%20VACINA\PLANILHAS%20ALMOXARIFADO%20-%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al"/>
      <sheetName val="Novo!"/>
      <sheetName val="Dados"/>
      <sheetName val="BDI"/>
      <sheetName val="Orçamento"/>
      <sheetName val="Memória"/>
      <sheetName val="Comp"/>
      <sheetName val="Cot"/>
      <sheetName val="CronoFF"/>
      <sheetName val="QCI"/>
      <sheetName val="Memorial Descritivo"/>
      <sheetName val="Licitação"/>
      <sheetName val="CronoFF-L"/>
      <sheetName val="QCI-L"/>
      <sheetName val="BM"/>
      <sheetName val="RRE"/>
      <sheetName val="OFÍCIO"/>
      <sheetName val="CC"/>
    </sheetNames>
    <sheetDataSet>
      <sheetData sheetId="0"/>
      <sheetData sheetId="1"/>
      <sheetData sheetId="2">
        <row r="29">
          <cell r="G29">
            <v>42826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ÁRIA"/>
      <sheetName val="MEMÓRIA DE CÁLCULO"/>
      <sheetName val="COMPOSIÇÃO DO BDI"/>
      <sheetName val="CRONOGRAMA FÍSICO-FINANCEIRO"/>
    </sheetNames>
    <sheetDataSet>
      <sheetData sheetId="0">
        <row r="2">
          <cell r="A2" t="str">
            <v>MUNICÍPIO DE IBERTIOGA</v>
          </cell>
        </row>
        <row r="10">
          <cell r="A10" t="str">
            <v>CONTRATANTE: MUNICÍPIO DE IBERTIOGA-MG</v>
          </cell>
          <cell r="G10" t="str">
            <v>FONTE DE RECURSOS: RESOLUÇÃO/SES-MG</v>
          </cell>
        </row>
        <row r="15">
          <cell r="A15" t="str">
            <v>PRAZO DE EXECUÇÃO: 04 (QUATRO) MESES</v>
          </cell>
        </row>
      </sheetData>
      <sheetData sheetId="1"/>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E9913-FF90-4C7E-BF9B-D527D061AA17}">
  <dimension ref="A1:G11"/>
  <sheetViews>
    <sheetView showGridLines="0" workbookViewId="0">
      <selection activeCell="F8" sqref="F8"/>
    </sheetView>
  </sheetViews>
  <sheetFormatPr defaultRowHeight="13.2" x14ac:dyDescent="0.25"/>
  <cols>
    <col min="2" max="2" width="11.88671875" customWidth="1"/>
    <col min="3" max="3" width="43.109375" customWidth="1"/>
    <col min="6" max="6" width="11.6640625" customWidth="1"/>
  </cols>
  <sheetData>
    <row r="1" spans="1:7" ht="23.25" customHeight="1" x14ac:dyDescent="0.45">
      <c r="A1" s="236" t="s">
        <v>70</v>
      </c>
      <c r="B1" s="237"/>
      <c r="C1" s="237"/>
      <c r="D1" s="237"/>
      <c r="E1" s="237"/>
      <c r="F1" s="237"/>
      <c r="G1" s="238"/>
    </row>
    <row r="2" spans="1:7" ht="23.4" x14ac:dyDescent="0.45">
      <c r="A2" s="176" t="str">
        <f>'Planilha Orcamentaria'!A11</f>
        <v>PROPONENTE: PREFEITURA MUNICIPAL DE IBERTIOGA</v>
      </c>
      <c r="B2" s="202"/>
      <c r="C2" s="203"/>
      <c r="D2" s="203"/>
      <c r="E2" s="203"/>
      <c r="F2" s="203"/>
      <c r="G2" s="204"/>
    </row>
    <row r="3" spans="1:7" ht="18.75" customHeight="1" x14ac:dyDescent="0.45">
      <c r="A3" s="176" t="str">
        <f>'Planilha Orcamentaria'!A12</f>
        <v xml:space="preserve">OBJETO: AMPLIAÇÃO DO CEMITERIO E CONSTRUÇÃO DE OSSÁRIO </v>
      </c>
      <c r="B3" s="202"/>
      <c r="C3" s="203"/>
      <c r="D3" s="203"/>
      <c r="E3" s="203"/>
      <c r="F3" s="203"/>
      <c r="G3" s="204"/>
    </row>
    <row r="4" spans="1:7" ht="23.4" x14ac:dyDescent="0.45">
      <c r="A4" s="176" t="str">
        <f>'Planilha Orcamentaria'!A13</f>
        <v>LOCAL: CEMITÉRIO MUNICIPAL DE IBERTIOGA</v>
      </c>
      <c r="B4" s="202"/>
      <c r="C4" s="203"/>
      <c r="D4" s="203"/>
      <c r="E4" s="203"/>
      <c r="F4" s="203"/>
      <c r="G4" s="204"/>
    </row>
    <row r="5" spans="1:7" ht="26.25" customHeight="1" x14ac:dyDescent="0.25">
      <c r="A5" s="177"/>
      <c r="B5" s="178"/>
      <c r="C5" s="179" t="s">
        <v>71</v>
      </c>
      <c r="D5" s="180" t="s">
        <v>8</v>
      </c>
      <c r="E5" s="180" t="s">
        <v>72</v>
      </c>
      <c r="F5" s="181" t="s">
        <v>73</v>
      </c>
      <c r="G5" s="182" t="s">
        <v>74</v>
      </c>
    </row>
    <row r="6" spans="1:7" ht="20.399999999999999" x14ac:dyDescent="0.25">
      <c r="A6" s="183"/>
      <c r="B6" s="184" t="s">
        <v>75</v>
      </c>
      <c r="C6" s="185" t="s">
        <v>242</v>
      </c>
      <c r="D6" s="186" t="s">
        <v>49</v>
      </c>
      <c r="E6" s="187">
        <v>44835</v>
      </c>
      <c r="F6" s="188" t="s">
        <v>81</v>
      </c>
      <c r="G6" s="189">
        <f>SUM(G8:G10)</f>
        <v>5.0730000000000004</v>
      </c>
    </row>
    <row r="7" spans="1:7" x14ac:dyDescent="0.25">
      <c r="A7" s="190"/>
      <c r="B7" s="191" t="s">
        <v>6</v>
      </c>
      <c r="C7" s="190" t="s">
        <v>77</v>
      </c>
      <c r="D7" s="192" t="s">
        <v>8</v>
      </c>
      <c r="E7" s="192" t="s">
        <v>78</v>
      </c>
      <c r="F7" s="192" t="s">
        <v>79</v>
      </c>
      <c r="G7" s="192" t="s">
        <v>80</v>
      </c>
    </row>
    <row r="8" spans="1:7" ht="40.799999999999997" x14ac:dyDescent="0.25">
      <c r="A8" s="193" t="s">
        <v>76</v>
      </c>
      <c r="B8" s="194" t="s">
        <v>243</v>
      </c>
      <c r="C8" s="195" t="s">
        <v>244</v>
      </c>
      <c r="D8" s="193" t="s">
        <v>24</v>
      </c>
      <c r="E8" s="196">
        <v>0.3</v>
      </c>
      <c r="F8" s="197">
        <v>4.05</v>
      </c>
      <c r="G8" s="198">
        <f>E8*F8</f>
        <v>1.2149999999999999</v>
      </c>
    </row>
    <row r="9" spans="1:7" x14ac:dyDescent="0.25">
      <c r="A9" s="193" t="s">
        <v>76</v>
      </c>
      <c r="B9" s="194" t="s">
        <v>93</v>
      </c>
      <c r="C9" s="195" t="s">
        <v>83</v>
      </c>
      <c r="D9" s="193" t="s">
        <v>82</v>
      </c>
      <c r="E9" s="196">
        <v>0.1</v>
      </c>
      <c r="F9" s="197">
        <v>22.37</v>
      </c>
      <c r="G9" s="198">
        <f t="shared" ref="G9" si="0">E9*F9</f>
        <v>2.2370000000000001</v>
      </c>
    </row>
    <row r="10" spans="1:7" x14ac:dyDescent="0.25">
      <c r="A10" s="193" t="s">
        <v>76</v>
      </c>
      <c r="B10" s="194" t="s">
        <v>94</v>
      </c>
      <c r="C10" s="195" t="s">
        <v>84</v>
      </c>
      <c r="D10" s="193" t="s">
        <v>82</v>
      </c>
      <c r="E10" s="196">
        <v>0.1</v>
      </c>
      <c r="F10" s="197">
        <v>16.21</v>
      </c>
      <c r="G10" s="198">
        <f>E10*F10</f>
        <v>1.6210000000000002</v>
      </c>
    </row>
    <row r="11" spans="1:7" x14ac:dyDescent="0.25">
      <c r="A11" s="194"/>
      <c r="B11" s="194"/>
      <c r="C11" s="199"/>
      <c r="D11" s="200"/>
      <c r="E11" s="196"/>
      <c r="F11" s="197"/>
      <c r="G11" s="201"/>
    </row>
  </sheetData>
  <mergeCells count="1">
    <mergeCell ref="A1:G1"/>
  </mergeCells>
  <pageMargins left="0.511811024" right="0.511811024" top="0.78740157499999996" bottom="0.78740157499999996" header="0.31496062000000002" footer="0.31496062000000002"/>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99"/>
  <sheetViews>
    <sheetView showGridLines="0" tabSelected="1" view="pageBreakPreview" zoomScaleNormal="100" zoomScaleSheetLayoutView="100" workbookViewId="0">
      <selection activeCell="C9" sqref="C9:D9"/>
    </sheetView>
  </sheetViews>
  <sheetFormatPr defaultColWidth="14.44140625" defaultRowHeight="15" customHeight="1" x14ac:dyDescent="0.25"/>
  <cols>
    <col min="1" max="1" width="7.33203125" customWidth="1"/>
    <col min="2" max="2" width="12" customWidth="1"/>
    <col min="3" max="3" width="74.5546875" customWidth="1"/>
    <col min="4" max="4" width="9.109375" customWidth="1"/>
    <col min="5" max="6" width="12.33203125" customWidth="1"/>
    <col min="7" max="7" width="45.109375" customWidth="1"/>
    <col min="8" max="23" width="8" customWidth="1"/>
  </cols>
  <sheetData>
    <row r="1" spans="1:7" s="12" customFormat="1" ht="19.95" customHeight="1" x14ac:dyDescent="0.25">
      <c r="A1" s="254" t="s">
        <v>256</v>
      </c>
      <c r="B1" s="255"/>
      <c r="C1" s="255"/>
      <c r="D1" s="255"/>
      <c r="E1" s="255"/>
      <c r="F1" s="255"/>
      <c r="G1" s="256"/>
    </row>
    <row r="2" spans="1:7" s="12" customFormat="1" ht="19.95" customHeight="1" x14ac:dyDescent="0.25">
      <c r="A2" s="257" t="str">
        <f>'Planilha Orcamentaria'!A11:E11</f>
        <v>PROPONENTE: PREFEITURA MUNICIPAL DE IBERTIOGA</v>
      </c>
      <c r="B2" s="258"/>
      <c r="C2" s="258"/>
      <c r="D2" s="258"/>
      <c r="E2" s="258"/>
      <c r="F2" s="258"/>
      <c r="G2" s="259"/>
    </row>
    <row r="3" spans="1:7" s="12" customFormat="1" ht="19.95" customHeight="1" x14ac:dyDescent="0.25">
      <c r="A3" s="257" t="str">
        <f>'Planilha Orcamentaria'!A12:E12</f>
        <v xml:space="preserve">OBJETO: AMPLIAÇÃO DO CEMITERIO E CONSTRUÇÃO DE OSSÁRIO </v>
      </c>
      <c r="B3" s="258"/>
      <c r="C3" s="258"/>
      <c r="D3" s="258"/>
      <c r="E3" s="258"/>
      <c r="F3" s="258"/>
      <c r="G3" s="259"/>
    </row>
    <row r="4" spans="1:7" s="12" customFormat="1" ht="19.95" customHeight="1" thickBot="1" x14ac:dyDescent="0.3">
      <c r="A4" s="257" t="str">
        <f>'Planilha Orcamentaria'!A13:E13</f>
        <v>LOCAL: CEMITÉRIO MUNICIPAL DE IBERTIOGA</v>
      </c>
      <c r="B4" s="258"/>
      <c r="C4" s="258"/>
      <c r="D4" s="258"/>
      <c r="E4" s="258"/>
      <c r="F4" s="258"/>
      <c r="G4" s="259"/>
    </row>
    <row r="5" spans="1:7" s="12" customFormat="1" ht="28.2" customHeight="1" thickBot="1" x14ac:dyDescent="0.3">
      <c r="A5" s="64" t="s">
        <v>5</v>
      </c>
      <c r="B5" s="60" t="s">
        <v>6</v>
      </c>
      <c r="C5" s="60" t="s">
        <v>7</v>
      </c>
      <c r="D5" s="60" t="s">
        <v>49</v>
      </c>
      <c r="E5" s="60" t="s">
        <v>50</v>
      </c>
      <c r="F5" s="260" t="s">
        <v>51</v>
      </c>
      <c r="G5" s="261"/>
    </row>
    <row r="6" spans="1:7" s="12" customFormat="1" ht="19.95" customHeight="1" x14ac:dyDescent="0.25">
      <c r="A6" s="223">
        <v>1</v>
      </c>
      <c r="B6" s="62" t="s">
        <v>13</v>
      </c>
      <c r="C6" s="245" t="s">
        <v>14</v>
      </c>
      <c r="D6" s="246"/>
      <c r="E6" s="63"/>
      <c r="F6" s="247"/>
      <c r="G6" s="248"/>
    </row>
    <row r="7" spans="1:7" ht="51" customHeight="1" thickBot="1" x14ac:dyDescent="0.3">
      <c r="A7" s="224" t="s">
        <v>15</v>
      </c>
      <c r="B7" s="67" t="s">
        <v>248</v>
      </c>
      <c r="C7" s="11" t="s">
        <v>247</v>
      </c>
      <c r="D7" s="9" t="s">
        <v>18</v>
      </c>
      <c r="E7" s="65">
        <f>2.4*1.2</f>
        <v>2.88</v>
      </c>
      <c r="F7" s="239" t="s">
        <v>249</v>
      </c>
      <c r="G7" s="240"/>
    </row>
    <row r="8" spans="1:7" ht="13.2" x14ac:dyDescent="0.25">
      <c r="A8" s="251" t="s">
        <v>101</v>
      </c>
      <c r="B8" s="252"/>
      <c r="C8" s="252"/>
      <c r="D8" s="252"/>
      <c r="E8" s="252"/>
      <c r="F8" s="252"/>
      <c r="G8" s="253"/>
    </row>
    <row r="9" spans="1:7" ht="25.2" customHeight="1" x14ac:dyDescent="0.25">
      <c r="A9" s="225">
        <v>2</v>
      </c>
      <c r="B9" s="68"/>
      <c r="C9" s="245" t="s">
        <v>44</v>
      </c>
      <c r="D9" s="246"/>
      <c r="E9" s="63"/>
      <c r="F9" s="247"/>
      <c r="G9" s="248"/>
    </row>
    <row r="10" spans="1:7" ht="13.2" x14ac:dyDescent="0.25">
      <c r="A10" s="224" t="s">
        <v>21</v>
      </c>
      <c r="B10" s="67" t="s">
        <v>103</v>
      </c>
      <c r="C10" s="66" t="s">
        <v>102</v>
      </c>
      <c r="D10" s="9" t="s">
        <v>22</v>
      </c>
      <c r="E10" s="65">
        <f>5.35*2.3*0.6</f>
        <v>7.3829999999999982</v>
      </c>
      <c r="F10" s="239" t="s">
        <v>128</v>
      </c>
      <c r="G10" s="240"/>
    </row>
    <row r="11" spans="1:7" ht="13.2" x14ac:dyDescent="0.25">
      <c r="A11" s="224" t="s">
        <v>16</v>
      </c>
      <c r="B11" s="67" t="s">
        <v>105</v>
      </c>
      <c r="C11" s="66" t="s">
        <v>104</v>
      </c>
      <c r="D11" s="9" t="s">
        <v>22</v>
      </c>
      <c r="E11" s="65">
        <f>E10</f>
        <v>7.3829999999999982</v>
      </c>
      <c r="F11" s="239" t="s">
        <v>128</v>
      </c>
      <c r="G11" s="240"/>
    </row>
    <row r="12" spans="1:7" ht="13.2" x14ac:dyDescent="0.25">
      <c r="A12" s="224" t="s">
        <v>23</v>
      </c>
      <c r="B12" s="67" t="s">
        <v>85</v>
      </c>
      <c r="C12" s="66" t="s">
        <v>106</v>
      </c>
      <c r="D12" s="9" t="s">
        <v>22</v>
      </c>
      <c r="E12" s="65">
        <f>10.3*0.3*0.15*2+0.7*0.3*15*4</f>
        <v>13.526999999999999</v>
      </c>
      <c r="F12" s="239" t="s">
        <v>129</v>
      </c>
      <c r="G12" s="240"/>
    </row>
    <row r="13" spans="1:7" ht="13.2" x14ac:dyDescent="0.25">
      <c r="A13" s="224" t="s">
        <v>107</v>
      </c>
      <c r="B13" s="67" t="s">
        <v>86</v>
      </c>
      <c r="C13" s="66" t="s">
        <v>26</v>
      </c>
      <c r="D13" s="9" t="s">
        <v>18</v>
      </c>
      <c r="E13" s="65">
        <f>10.3*0.15*2+0.7*0.15*4</f>
        <v>3.5100000000000002</v>
      </c>
      <c r="F13" s="239" t="s">
        <v>130</v>
      </c>
      <c r="G13" s="240"/>
    </row>
    <row r="14" spans="1:7" s="12" customFormat="1" ht="19.95" customHeight="1" x14ac:dyDescent="0.25">
      <c r="A14" s="223">
        <v>3</v>
      </c>
      <c r="B14" s="62"/>
      <c r="C14" s="245" t="s">
        <v>68</v>
      </c>
      <c r="D14" s="246"/>
      <c r="E14" s="63"/>
      <c r="F14" s="247"/>
      <c r="G14" s="248"/>
    </row>
    <row r="15" spans="1:7" ht="27.6" customHeight="1" x14ac:dyDescent="0.25">
      <c r="A15" s="226" t="s">
        <v>17</v>
      </c>
      <c r="B15" s="67" t="s">
        <v>109</v>
      </c>
      <c r="C15" s="11" t="s">
        <v>108</v>
      </c>
      <c r="D15" s="9" t="s">
        <v>24</v>
      </c>
      <c r="E15" s="65">
        <f>2*4+1*4</f>
        <v>12</v>
      </c>
      <c r="F15" s="239" t="s">
        <v>131</v>
      </c>
      <c r="G15" s="240"/>
    </row>
    <row r="16" spans="1:7" ht="27.6" customHeight="1" x14ac:dyDescent="0.25">
      <c r="A16" s="226" t="s">
        <v>27</v>
      </c>
      <c r="B16" s="67" t="s">
        <v>87</v>
      </c>
      <c r="C16" s="11" t="s">
        <v>47</v>
      </c>
      <c r="D16" s="9" t="s">
        <v>18</v>
      </c>
      <c r="E16" s="65">
        <f>10.3*0.3*2*2+0.7*0.3*2*4</f>
        <v>14.040000000000001</v>
      </c>
      <c r="F16" s="239" t="s">
        <v>132</v>
      </c>
      <c r="G16" s="240"/>
    </row>
    <row r="17" spans="1:9" ht="42" customHeight="1" x14ac:dyDescent="0.25">
      <c r="A17" s="226" t="s">
        <v>30</v>
      </c>
      <c r="B17" s="67" t="s">
        <v>88</v>
      </c>
      <c r="C17" s="66" t="s">
        <v>45</v>
      </c>
      <c r="D17" s="9" t="s">
        <v>22</v>
      </c>
      <c r="E17" s="65">
        <f>(10.3 *0.15 *0.05 *2 + 0.7*0.15 *0.05 *4+9.7*0.7*0.05)</f>
        <v>0.51500000000000001</v>
      </c>
      <c r="F17" s="239" t="s">
        <v>133</v>
      </c>
      <c r="G17" s="240"/>
    </row>
    <row r="18" spans="1:9" s="12" customFormat="1" ht="39" customHeight="1" x14ac:dyDescent="0.25">
      <c r="A18" s="226" t="s">
        <v>69</v>
      </c>
      <c r="B18" s="67" t="s">
        <v>89</v>
      </c>
      <c r="C18" s="66" t="s">
        <v>28</v>
      </c>
      <c r="D18" s="9" t="s">
        <v>29</v>
      </c>
      <c r="E18" s="65">
        <f>4*12*0.395+0.4*80*0.154+4*(10.3*2+0.4*4)*0.395+0.75*156*0.154</f>
        <v>76.982000000000014</v>
      </c>
      <c r="F18" s="239" t="s">
        <v>135</v>
      </c>
      <c r="G18" s="240"/>
      <c r="I18" s="107" t="s">
        <v>134</v>
      </c>
    </row>
    <row r="19" spans="1:9" ht="52.5" customHeight="1" x14ac:dyDescent="0.25">
      <c r="A19" s="226" t="s">
        <v>140</v>
      </c>
      <c r="B19" s="67" t="s">
        <v>90</v>
      </c>
      <c r="C19" s="11" t="s">
        <v>46</v>
      </c>
      <c r="D19" s="9" t="s">
        <v>22</v>
      </c>
      <c r="E19" s="65">
        <f>PI()*0.075*0.075*12+(23.4*0.15*0.3)</f>
        <v>1.2650575041173111</v>
      </c>
      <c r="F19" s="239" t="s">
        <v>136</v>
      </c>
      <c r="G19" s="240"/>
    </row>
    <row r="20" spans="1:9" ht="27.6" customHeight="1" x14ac:dyDescent="0.25">
      <c r="A20" s="226" t="s">
        <v>141</v>
      </c>
      <c r="B20" s="67" t="s">
        <v>111</v>
      </c>
      <c r="C20" s="11" t="s">
        <v>110</v>
      </c>
      <c r="D20" s="9" t="s">
        <v>29</v>
      </c>
      <c r="E20" s="65">
        <f>10.3*0.7*2.2</f>
        <v>15.862000000000002</v>
      </c>
      <c r="F20" s="239" t="s">
        <v>137</v>
      </c>
      <c r="G20" s="240"/>
      <c r="H20">
        <v>0.14130000000000001</v>
      </c>
    </row>
    <row r="21" spans="1:9" ht="27.6" customHeight="1" x14ac:dyDescent="0.25">
      <c r="A21" s="226" t="s">
        <v>142</v>
      </c>
      <c r="B21" s="67">
        <v>97096</v>
      </c>
      <c r="C21" s="11" t="s">
        <v>113</v>
      </c>
      <c r="D21" s="9" t="s">
        <v>22</v>
      </c>
      <c r="E21" s="65">
        <f>10.3*0.7*0.1</f>
        <v>0.72100000000000009</v>
      </c>
      <c r="F21" s="239" t="s">
        <v>138</v>
      </c>
      <c r="G21" s="240"/>
      <c r="H21">
        <v>7.0000000000000007E-2</v>
      </c>
    </row>
    <row r="22" spans="1:9" s="12" customFormat="1" ht="19.95" customHeight="1" x14ac:dyDescent="0.25">
      <c r="A22" s="223">
        <v>4</v>
      </c>
      <c r="B22" s="62"/>
      <c r="C22" s="245" t="s">
        <v>114</v>
      </c>
      <c r="D22" s="246"/>
      <c r="E22" s="63"/>
      <c r="F22" s="247"/>
      <c r="G22" s="248"/>
    </row>
    <row r="23" spans="1:9" ht="34.950000000000003" customHeight="1" x14ac:dyDescent="0.25">
      <c r="A23" s="224" t="s">
        <v>19</v>
      </c>
      <c r="B23" s="67" t="s">
        <v>139</v>
      </c>
      <c r="C23" s="11" t="s">
        <v>115</v>
      </c>
      <c r="D23" s="9" t="s">
        <v>18</v>
      </c>
      <c r="E23" s="65">
        <f>18*0.5*0.8*4</f>
        <v>28.8</v>
      </c>
      <c r="F23" s="239" t="s">
        <v>143</v>
      </c>
      <c r="G23" s="240"/>
    </row>
    <row r="24" spans="1:9" ht="34.950000000000003" customHeight="1" x14ac:dyDescent="0.25">
      <c r="A24" s="223">
        <v>5</v>
      </c>
      <c r="B24" s="62"/>
      <c r="C24" s="245" t="s">
        <v>117</v>
      </c>
      <c r="D24" s="246"/>
      <c r="E24" s="63"/>
      <c r="F24" s="247"/>
      <c r="G24" s="248"/>
    </row>
    <row r="25" spans="1:9" ht="34.950000000000003" customHeight="1" x14ac:dyDescent="0.25">
      <c r="A25" s="224" t="s">
        <v>31</v>
      </c>
      <c r="B25" s="67" t="s">
        <v>119</v>
      </c>
      <c r="C25" s="11" t="s">
        <v>118</v>
      </c>
      <c r="D25" s="9" t="s">
        <v>18</v>
      </c>
      <c r="E25" s="65">
        <v>10.3</v>
      </c>
      <c r="F25" s="239" t="s">
        <v>144</v>
      </c>
      <c r="G25" s="240"/>
    </row>
    <row r="26" spans="1:9" s="12" customFormat="1" ht="19.95" customHeight="1" x14ac:dyDescent="0.25">
      <c r="A26" s="223">
        <v>6</v>
      </c>
      <c r="B26" s="62"/>
      <c r="C26" s="245" t="s">
        <v>120</v>
      </c>
      <c r="D26" s="246"/>
      <c r="E26" s="63"/>
      <c r="F26" s="247"/>
      <c r="G26" s="248"/>
    </row>
    <row r="27" spans="1:9" s="12" customFormat="1" ht="32.4" x14ac:dyDescent="0.25">
      <c r="A27" s="224" t="s">
        <v>33</v>
      </c>
      <c r="B27" s="59">
        <v>87529</v>
      </c>
      <c r="C27" s="83" t="s">
        <v>121</v>
      </c>
      <c r="D27" s="9" t="s">
        <v>18</v>
      </c>
      <c r="E27" s="65">
        <f>E23*2+(2.5*10.3-0.5*0.5*17*4)</f>
        <v>66.349999999999994</v>
      </c>
      <c r="F27" s="241" t="s">
        <v>145</v>
      </c>
      <c r="G27" s="240"/>
    </row>
    <row r="28" spans="1:9" s="12" customFormat="1" ht="21.6" x14ac:dyDescent="0.25">
      <c r="A28" s="226" t="s">
        <v>32</v>
      </c>
      <c r="B28" s="59" t="s">
        <v>91</v>
      </c>
      <c r="C28" s="11" t="s">
        <v>122</v>
      </c>
      <c r="D28" s="9" t="s">
        <v>18</v>
      </c>
      <c r="E28" s="65">
        <f>E27</f>
        <v>66.349999999999994</v>
      </c>
      <c r="F28" s="241" t="s">
        <v>146</v>
      </c>
      <c r="G28" s="240"/>
    </row>
    <row r="29" spans="1:9" s="12" customFormat="1" ht="19.95" customHeight="1" x14ac:dyDescent="0.25">
      <c r="A29" s="223">
        <v>7</v>
      </c>
      <c r="B29" s="62"/>
      <c r="C29" s="245" t="s">
        <v>41</v>
      </c>
      <c r="D29" s="246"/>
      <c r="E29" s="63"/>
      <c r="F29" s="247"/>
      <c r="G29" s="248"/>
    </row>
    <row r="30" spans="1:9" ht="27.6" customHeight="1" x14ac:dyDescent="0.25">
      <c r="A30" s="226" t="s">
        <v>35</v>
      </c>
      <c r="B30" s="67">
        <v>88485</v>
      </c>
      <c r="C30" s="66" t="s">
        <v>123</v>
      </c>
      <c r="D30" s="9" t="s">
        <v>18</v>
      </c>
      <c r="E30" s="65">
        <f>E27</f>
        <v>66.349999999999994</v>
      </c>
      <c r="F30" s="241" t="s">
        <v>147</v>
      </c>
      <c r="G30" s="240"/>
    </row>
    <row r="31" spans="1:9" ht="27.6" customHeight="1" x14ac:dyDescent="0.25">
      <c r="A31" s="226" t="s">
        <v>36</v>
      </c>
      <c r="B31" s="67">
        <v>88489</v>
      </c>
      <c r="C31" s="66" t="s">
        <v>124</v>
      </c>
      <c r="D31" s="9" t="s">
        <v>18</v>
      </c>
      <c r="E31" s="65">
        <f>E30</f>
        <v>66.349999999999994</v>
      </c>
      <c r="F31" s="241" t="s">
        <v>146</v>
      </c>
      <c r="G31" s="240"/>
    </row>
    <row r="32" spans="1:9" ht="13.2" x14ac:dyDescent="0.25">
      <c r="A32" s="242" t="s">
        <v>125</v>
      </c>
      <c r="B32" s="243"/>
      <c r="C32" s="243"/>
      <c r="D32" s="243"/>
      <c r="E32" s="243"/>
      <c r="F32" s="243"/>
      <c r="G32" s="244"/>
      <c r="H32" s="106"/>
    </row>
    <row r="33" spans="1:7" s="12" customFormat="1" ht="19.95" customHeight="1" x14ac:dyDescent="0.25">
      <c r="A33" s="223">
        <v>8</v>
      </c>
      <c r="B33" s="62"/>
      <c r="C33" s="245" t="s">
        <v>240</v>
      </c>
      <c r="D33" s="246"/>
      <c r="E33" s="63"/>
      <c r="F33" s="247"/>
      <c r="G33" s="248"/>
    </row>
    <row r="34" spans="1:7" ht="32.4" x14ac:dyDescent="0.25">
      <c r="A34" s="224" t="s">
        <v>184</v>
      </c>
      <c r="B34" s="67">
        <v>94277</v>
      </c>
      <c r="C34" s="11" t="s">
        <v>126</v>
      </c>
      <c r="D34" s="9" t="s">
        <v>24</v>
      </c>
      <c r="E34" s="65">
        <f>(10.3+49.36+9.8+36.9)*2</f>
        <v>212.71999999999997</v>
      </c>
      <c r="F34" s="239" t="s">
        <v>148</v>
      </c>
      <c r="G34" s="240"/>
    </row>
    <row r="35" spans="1:7" ht="51" customHeight="1" x14ac:dyDescent="0.25">
      <c r="A35" s="224" t="s">
        <v>185</v>
      </c>
      <c r="B35" s="67">
        <v>92393</v>
      </c>
      <c r="C35" s="11" t="s">
        <v>127</v>
      </c>
      <c r="D35" s="9" t="s">
        <v>18</v>
      </c>
      <c r="E35" s="65">
        <f>(49.36+9.8+36.9)*2+10.3</f>
        <v>202.42000000000002</v>
      </c>
      <c r="F35" s="239" t="s">
        <v>149</v>
      </c>
      <c r="G35" s="240"/>
    </row>
    <row r="36" spans="1:7" ht="21.6" x14ac:dyDescent="0.25">
      <c r="A36" s="224" t="s">
        <v>186</v>
      </c>
      <c r="B36" s="67" t="s">
        <v>151</v>
      </c>
      <c r="C36" s="11" t="s">
        <v>150</v>
      </c>
      <c r="D36" s="9" t="s">
        <v>24</v>
      </c>
      <c r="E36" s="65">
        <v>29.45</v>
      </c>
      <c r="F36" s="239" t="s">
        <v>152</v>
      </c>
      <c r="G36" s="240"/>
    </row>
    <row r="37" spans="1:7" ht="21.6" x14ac:dyDescent="0.25">
      <c r="A37" s="224" t="s">
        <v>187</v>
      </c>
      <c r="B37" s="67" t="s">
        <v>75</v>
      </c>
      <c r="C37" s="11" t="s">
        <v>242</v>
      </c>
      <c r="D37" s="9" t="s">
        <v>49</v>
      </c>
      <c r="E37" s="65">
        <f>4*116</f>
        <v>464</v>
      </c>
      <c r="F37" s="262" t="s">
        <v>246</v>
      </c>
      <c r="G37" s="263"/>
    </row>
    <row r="38" spans="1:7" ht="32.4" x14ac:dyDescent="0.25">
      <c r="A38" s="224" t="s">
        <v>188</v>
      </c>
      <c r="B38" s="67" t="s">
        <v>154</v>
      </c>
      <c r="C38" s="11" t="s">
        <v>153</v>
      </c>
      <c r="D38" s="9" t="s">
        <v>49</v>
      </c>
      <c r="E38" s="65">
        <v>4</v>
      </c>
      <c r="F38" s="239" t="s">
        <v>155</v>
      </c>
      <c r="G38" s="240"/>
    </row>
    <row r="39" spans="1:7" ht="39.75" customHeight="1" x14ac:dyDescent="0.25">
      <c r="A39" s="224" t="s">
        <v>245</v>
      </c>
      <c r="B39" s="112" t="s">
        <v>157</v>
      </c>
      <c r="C39" s="114" t="s">
        <v>239</v>
      </c>
      <c r="D39" s="9" t="s">
        <v>98</v>
      </c>
      <c r="E39" s="65">
        <v>12</v>
      </c>
      <c r="F39" s="239" t="s">
        <v>159</v>
      </c>
      <c r="G39" s="240"/>
    </row>
    <row r="40" spans="1:7" ht="39.75" customHeight="1" x14ac:dyDescent="0.25">
      <c r="A40" s="227"/>
      <c r="B40" s="112"/>
      <c r="C40" s="172"/>
      <c r="D40" s="173"/>
      <c r="E40" s="174"/>
      <c r="F40" s="175"/>
      <c r="G40" s="228"/>
    </row>
    <row r="41" spans="1:7" ht="18" customHeight="1" x14ac:dyDescent="0.25">
      <c r="A41" s="242" t="s">
        <v>156</v>
      </c>
      <c r="B41" s="243"/>
      <c r="C41" s="243"/>
      <c r="D41" s="243"/>
      <c r="E41" s="243"/>
      <c r="F41" s="243"/>
      <c r="G41" s="244"/>
    </row>
    <row r="42" spans="1:7" ht="23.25" customHeight="1" x14ac:dyDescent="0.25">
      <c r="A42" s="223">
        <v>9</v>
      </c>
      <c r="B42" s="62"/>
      <c r="C42" s="245" t="s">
        <v>68</v>
      </c>
      <c r="D42" s="246"/>
      <c r="E42" s="63"/>
      <c r="F42" s="247"/>
      <c r="G42" s="248"/>
    </row>
    <row r="43" spans="1:7" ht="23.25" customHeight="1" x14ac:dyDescent="0.25">
      <c r="A43" s="224" t="s">
        <v>37</v>
      </c>
      <c r="B43" s="67" t="s">
        <v>85</v>
      </c>
      <c r="C43" s="66" t="s">
        <v>106</v>
      </c>
      <c r="D43" s="9" t="s">
        <v>22</v>
      </c>
      <c r="E43" s="65">
        <f>(37.65+3)*0.3*0.2</f>
        <v>2.4390000000000001</v>
      </c>
      <c r="F43" s="239" t="s">
        <v>163</v>
      </c>
      <c r="G43" s="240"/>
    </row>
    <row r="44" spans="1:7" ht="13.2" x14ac:dyDescent="0.25">
      <c r="A44" s="224" t="s">
        <v>97</v>
      </c>
      <c r="B44" s="67" t="s">
        <v>191</v>
      </c>
      <c r="C44" s="11" t="s">
        <v>192</v>
      </c>
      <c r="D44" s="9" t="s">
        <v>24</v>
      </c>
      <c r="E44" s="65">
        <v>15</v>
      </c>
      <c r="F44" s="239" t="s">
        <v>155</v>
      </c>
      <c r="G44" s="240"/>
    </row>
    <row r="45" spans="1:7" ht="13.2" x14ac:dyDescent="0.25">
      <c r="A45" s="224" t="s">
        <v>160</v>
      </c>
      <c r="B45" s="67" t="s">
        <v>87</v>
      </c>
      <c r="C45" s="11" t="s">
        <v>47</v>
      </c>
      <c r="D45" s="9" t="s">
        <v>18</v>
      </c>
      <c r="E45" s="65">
        <f>(37.65*0.3+3*0.3)*2</f>
        <v>24.39</v>
      </c>
      <c r="F45" s="249" t="s">
        <v>165</v>
      </c>
      <c r="G45" s="250"/>
    </row>
    <row r="46" spans="1:7" ht="13.2" x14ac:dyDescent="0.25">
      <c r="A46" s="224" t="s">
        <v>161</v>
      </c>
      <c r="B46" s="67" t="s">
        <v>88</v>
      </c>
      <c r="C46" s="66" t="s">
        <v>45</v>
      </c>
      <c r="D46" s="9" t="s">
        <v>22</v>
      </c>
      <c r="E46" s="65">
        <f>(37.65+3)*0.3*0.05</f>
        <v>0.60975000000000001</v>
      </c>
      <c r="F46" s="239" t="s">
        <v>164</v>
      </c>
      <c r="G46" s="240"/>
    </row>
    <row r="47" spans="1:7" ht="39.75" customHeight="1" x14ac:dyDescent="0.25">
      <c r="A47" s="224" t="s">
        <v>162</v>
      </c>
      <c r="B47" s="67" t="s">
        <v>89</v>
      </c>
      <c r="C47" s="66" t="s">
        <v>28</v>
      </c>
      <c r="D47" s="9" t="s">
        <v>29</v>
      </c>
      <c r="E47" s="65">
        <f>4*15*0.395+0.4*7*12*0.154+72.38+38.48</f>
        <v>139.73439999999999</v>
      </c>
      <c r="F47" s="239" t="s">
        <v>166</v>
      </c>
      <c r="G47" s="240"/>
    </row>
    <row r="48" spans="1:7" ht="21.6" x14ac:dyDescent="0.25">
      <c r="A48" s="224" t="s">
        <v>189</v>
      </c>
      <c r="B48" s="67" t="s">
        <v>90</v>
      </c>
      <c r="C48" s="11" t="s">
        <v>46</v>
      </c>
      <c r="D48" s="9" t="s">
        <v>22</v>
      </c>
      <c r="E48" s="65">
        <f>PI()*0.1*15+(37.65+3)*0.2*0.3</f>
        <v>7.1513889803846897</v>
      </c>
      <c r="F48" s="239" t="s">
        <v>167</v>
      </c>
      <c r="G48" s="240"/>
    </row>
    <row r="49" spans="1:8" ht="37.5" customHeight="1" x14ac:dyDescent="0.25">
      <c r="A49" s="223">
        <v>10</v>
      </c>
      <c r="B49" s="62"/>
      <c r="C49" s="245" t="s">
        <v>190</v>
      </c>
      <c r="D49" s="246"/>
      <c r="E49" s="63"/>
      <c r="F49" s="247"/>
      <c r="G49" s="248"/>
    </row>
    <row r="50" spans="1:8" ht="36" customHeight="1" x14ac:dyDescent="0.25">
      <c r="A50" s="224" t="s">
        <v>38</v>
      </c>
      <c r="B50" s="67" t="s">
        <v>85</v>
      </c>
      <c r="C50" s="11" t="s">
        <v>47</v>
      </c>
      <c r="D50" s="9" t="s">
        <v>18</v>
      </c>
      <c r="E50" s="65">
        <f>(0.2+0.15+0.2+0.15)*(1+1.13+1.2+1.23+1.27+1.33)*2+(0.2+0.15+0.2+0.15)*1.4</f>
        <v>11.004000000000001</v>
      </c>
      <c r="F50" s="239" t="s">
        <v>168</v>
      </c>
      <c r="G50" s="240"/>
    </row>
    <row r="51" spans="1:8" ht="31.5" customHeight="1" x14ac:dyDescent="0.25">
      <c r="A51" s="224" t="s">
        <v>39</v>
      </c>
      <c r="B51" s="67" t="s">
        <v>89</v>
      </c>
      <c r="C51" s="66" t="s">
        <v>28</v>
      </c>
      <c r="D51" s="9" t="s">
        <v>29</v>
      </c>
      <c r="E51" s="65">
        <f>(72.4+38.48)+(28.77+11.22)</f>
        <v>150.87</v>
      </c>
      <c r="F51" s="239" t="s">
        <v>169</v>
      </c>
      <c r="G51" s="240"/>
    </row>
    <row r="52" spans="1:8" s="12" customFormat="1" ht="21.6" x14ac:dyDescent="0.25">
      <c r="A52" s="224" t="s">
        <v>40</v>
      </c>
      <c r="B52" s="67" t="s">
        <v>90</v>
      </c>
      <c r="C52" s="11" t="s">
        <v>170</v>
      </c>
      <c r="D52" s="9" t="s">
        <v>22</v>
      </c>
      <c r="E52" s="65">
        <f>(0.2*0.15)*(1+1.13+1.2+1.23+1.27+1.33)*2+(0.2*0.15)*1.4+(37.65+3)*0.3*0.2</f>
        <v>2.9106000000000001</v>
      </c>
      <c r="F52" s="249" t="s">
        <v>171</v>
      </c>
      <c r="G52" s="250"/>
    </row>
    <row r="53" spans="1:8" s="12" customFormat="1" ht="32.4" x14ac:dyDescent="0.25">
      <c r="A53" s="224" t="s">
        <v>173</v>
      </c>
      <c r="B53" s="67" t="s">
        <v>172</v>
      </c>
      <c r="C53" s="229" t="s">
        <v>194</v>
      </c>
      <c r="D53" s="9" t="s">
        <v>24</v>
      </c>
      <c r="E53" s="65">
        <f>37.65+3</f>
        <v>40.65</v>
      </c>
      <c r="F53" s="249" t="s">
        <v>174</v>
      </c>
      <c r="G53" s="250"/>
    </row>
    <row r="54" spans="1:8" s="84" customFormat="1" ht="27" customHeight="1" x14ac:dyDescent="0.25">
      <c r="A54" s="224" t="s">
        <v>177</v>
      </c>
      <c r="B54" s="67" t="s">
        <v>176</v>
      </c>
      <c r="C54" s="66" t="s">
        <v>175</v>
      </c>
      <c r="D54" s="9" t="s">
        <v>18</v>
      </c>
      <c r="E54" s="65">
        <f>(2.07+3.24+3.38+3.49+3.52+3.62)*2-((37.65+3)*(0.3))</f>
        <v>26.445</v>
      </c>
      <c r="F54" s="241" t="s">
        <v>178</v>
      </c>
      <c r="G54" s="240"/>
      <c r="H54" s="85"/>
    </row>
    <row r="55" spans="1:8" s="84" customFormat="1" ht="27" customHeight="1" x14ac:dyDescent="0.25">
      <c r="A55" s="224" t="s">
        <v>179</v>
      </c>
      <c r="B55" s="59" t="s">
        <v>91</v>
      </c>
      <c r="C55" s="11" t="s">
        <v>122</v>
      </c>
      <c r="D55" s="9" t="s">
        <v>18</v>
      </c>
      <c r="E55" s="65">
        <f>22.72*2</f>
        <v>45.44</v>
      </c>
      <c r="F55" s="249" t="s">
        <v>181</v>
      </c>
      <c r="G55" s="250"/>
      <c r="H55" s="85"/>
    </row>
    <row r="56" spans="1:8" s="84" customFormat="1" ht="27" customHeight="1" x14ac:dyDescent="0.25">
      <c r="A56" s="224" t="s">
        <v>180</v>
      </c>
      <c r="B56" s="59">
        <v>87529</v>
      </c>
      <c r="C56" s="83" t="s">
        <v>121</v>
      </c>
      <c r="D56" s="9" t="s">
        <v>18</v>
      </c>
      <c r="E56" s="65">
        <f>22.72*2</f>
        <v>45.44</v>
      </c>
      <c r="F56" s="249" t="s">
        <v>181</v>
      </c>
      <c r="G56" s="250"/>
      <c r="H56" s="85"/>
    </row>
    <row r="57" spans="1:8" s="12" customFormat="1" ht="19.95" customHeight="1" x14ac:dyDescent="0.25">
      <c r="A57" s="223">
        <v>11</v>
      </c>
      <c r="B57" s="62" t="s">
        <v>42</v>
      </c>
      <c r="C57" s="245" t="s">
        <v>43</v>
      </c>
      <c r="D57" s="246"/>
      <c r="E57" s="63"/>
      <c r="F57" s="247"/>
      <c r="G57" s="248"/>
    </row>
    <row r="58" spans="1:8" ht="27.6" customHeight="1" x14ac:dyDescent="0.25">
      <c r="A58" s="224" t="s">
        <v>182</v>
      </c>
      <c r="B58" s="59" t="s">
        <v>92</v>
      </c>
      <c r="C58" s="11" t="s">
        <v>48</v>
      </c>
      <c r="D58" s="4" t="s">
        <v>18</v>
      </c>
      <c r="E58" s="65">
        <f>202.42+66.35+45.44</f>
        <v>314.20999999999998</v>
      </c>
      <c r="F58" s="239" t="s">
        <v>183</v>
      </c>
      <c r="G58" s="240"/>
    </row>
    <row r="59" spans="1:8" ht="12.75" customHeight="1" x14ac:dyDescent="0.25">
      <c r="A59" s="230"/>
      <c r="B59" s="231"/>
      <c r="C59" s="231"/>
      <c r="D59" s="231"/>
      <c r="E59" s="231"/>
      <c r="F59" s="231"/>
      <c r="G59" s="232"/>
    </row>
    <row r="60" spans="1:8" ht="12.75" customHeight="1" x14ac:dyDescent="0.25">
      <c r="A60" s="230"/>
      <c r="B60" s="231"/>
      <c r="C60" s="231"/>
      <c r="D60" s="231"/>
      <c r="E60" s="231"/>
      <c r="F60" s="231"/>
      <c r="G60" s="232"/>
    </row>
    <row r="61" spans="1:8" ht="12.75" customHeight="1" x14ac:dyDescent="0.25">
      <c r="A61" s="230"/>
      <c r="B61" s="231"/>
      <c r="C61" s="231" t="str">
        <f>'Planilha Orcamentaria'!C74</f>
        <v>ENGENHEIRO</v>
      </c>
      <c r="D61" s="231" t="str">
        <f>'Planilha Orcamentaria'!F74</f>
        <v xml:space="preserve">CREAMG Nº </v>
      </c>
      <c r="E61" s="231"/>
      <c r="F61" s="231"/>
      <c r="G61" s="232"/>
    </row>
    <row r="62" spans="1:8" ht="12.75" customHeight="1" x14ac:dyDescent="0.25">
      <c r="A62" s="230"/>
      <c r="B62" s="231"/>
      <c r="C62" s="231" t="str">
        <f>'Planilha Orcamentaria'!C75</f>
        <v>R. T. EMPRESA</v>
      </c>
      <c r="D62" s="231"/>
      <c r="E62" s="231"/>
      <c r="F62" s="231"/>
      <c r="G62" s="232"/>
    </row>
    <row r="63" spans="1:8" ht="12.75" customHeight="1" x14ac:dyDescent="0.25">
      <c r="A63" s="230"/>
      <c r="B63" s="231"/>
      <c r="C63" s="231"/>
      <c r="D63" s="231"/>
      <c r="E63" s="231"/>
      <c r="F63" s="231"/>
      <c r="G63" s="232"/>
    </row>
    <row r="64" spans="1:8" ht="12.75" customHeight="1" x14ac:dyDescent="0.25">
      <c r="A64" s="230"/>
      <c r="B64" s="231"/>
      <c r="C64" s="231"/>
      <c r="D64" s="231"/>
      <c r="E64" s="231"/>
      <c r="F64" s="231"/>
      <c r="G64" s="232"/>
    </row>
    <row r="65" spans="1:7" ht="12.75" customHeight="1" x14ac:dyDescent="0.25">
      <c r="A65" s="230"/>
      <c r="B65" s="231"/>
      <c r="C65" s="231" t="str">
        <f>'Planilha Orcamentaria'!C78</f>
        <v>EMPRESA</v>
      </c>
      <c r="D65" s="231"/>
      <c r="E65" s="231"/>
      <c r="F65" s="231"/>
      <c r="G65" s="232"/>
    </row>
    <row r="66" spans="1:7" ht="12.75" customHeight="1" x14ac:dyDescent="0.25">
      <c r="A66" s="230"/>
      <c r="B66" s="231"/>
      <c r="C66" s="231" t="str">
        <f>'Planilha Orcamentaria'!C79</f>
        <v>REPRESENTANTE EMPRESA</v>
      </c>
      <c r="D66" s="231"/>
      <c r="E66" s="231"/>
      <c r="F66" s="231"/>
      <c r="G66" s="232"/>
    </row>
    <row r="67" spans="1:7" ht="12.75" customHeight="1" thickBot="1" x14ac:dyDescent="0.3">
      <c r="A67" s="233"/>
      <c r="B67" s="234"/>
      <c r="C67" s="234"/>
      <c r="D67" s="234"/>
      <c r="E67" s="234"/>
      <c r="F67" s="234"/>
      <c r="G67" s="235"/>
    </row>
    <row r="68" spans="1:7" ht="12.75" customHeight="1" x14ac:dyDescent="0.25"/>
    <row r="69" spans="1:7" ht="12.75" customHeight="1" x14ac:dyDescent="0.25"/>
    <row r="70" spans="1:7" ht="12.75" customHeight="1" x14ac:dyDescent="0.25"/>
    <row r="71" spans="1:7" ht="12.75" customHeight="1" x14ac:dyDescent="0.25"/>
    <row r="72" spans="1:7" ht="12.75" customHeight="1" x14ac:dyDescent="0.25"/>
    <row r="73" spans="1:7" ht="12.75" customHeight="1" x14ac:dyDescent="0.25"/>
    <row r="74" spans="1:7" ht="12.75" customHeight="1" x14ac:dyDescent="0.25"/>
    <row r="75" spans="1:7" ht="12.75" customHeight="1" x14ac:dyDescent="0.25"/>
    <row r="76" spans="1:7" ht="12.75" customHeight="1" x14ac:dyDescent="0.25"/>
    <row r="77" spans="1:7" ht="12.75" customHeight="1" x14ac:dyDescent="0.25"/>
    <row r="78" spans="1:7" ht="12.75" customHeight="1" x14ac:dyDescent="0.25"/>
    <row r="79" spans="1:7" ht="12.75" customHeight="1" x14ac:dyDescent="0.25"/>
    <row r="80" spans="1:7"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68">
    <mergeCell ref="C33:D33"/>
    <mergeCell ref="F33:G33"/>
    <mergeCell ref="F49:G49"/>
    <mergeCell ref="F38:G38"/>
    <mergeCell ref="F47:G47"/>
    <mergeCell ref="F39:G39"/>
    <mergeCell ref="C14:D14"/>
    <mergeCell ref="F14:G14"/>
    <mergeCell ref="F55:G55"/>
    <mergeCell ref="F56:G56"/>
    <mergeCell ref="F46:G46"/>
    <mergeCell ref="F42:G42"/>
    <mergeCell ref="A32:G32"/>
    <mergeCell ref="F37:G37"/>
    <mergeCell ref="F44:G44"/>
    <mergeCell ref="F45:G45"/>
    <mergeCell ref="F51:G51"/>
    <mergeCell ref="F34:G34"/>
    <mergeCell ref="F35:G35"/>
    <mergeCell ref="C29:D29"/>
    <mergeCell ref="F53:G53"/>
    <mergeCell ref="F30:G30"/>
    <mergeCell ref="C22:D22"/>
    <mergeCell ref="F22:G22"/>
    <mergeCell ref="F19:G19"/>
    <mergeCell ref="C24:D24"/>
    <mergeCell ref="F36:G36"/>
    <mergeCell ref="C26:D26"/>
    <mergeCell ref="F27:G27"/>
    <mergeCell ref="F28:G28"/>
    <mergeCell ref="F23:G23"/>
    <mergeCell ref="F24:G24"/>
    <mergeCell ref="F25:G25"/>
    <mergeCell ref="F26:G26"/>
    <mergeCell ref="F20:G20"/>
    <mergeCell ref="F21:G21"/>
    <mergeCell ref="F31:G31"/>
    <mergeCell ref="F29:G29"/>
    <mergeCell ref="A1:G1"/>
    <mergeCell ref="A2:G2"/>
    <mergeCell ref="A3:G3"/>
    <mergeCell ref="A4:G4"/>
    <mergeCell ref="F5:G5"/>
    <mergeCell ref="C6:D6"/>
    <mergeCell ref="F7:G7"/>
    <mergeCell ref="F9:G9"/>
    <mergeCell ref="F6:G6"/>
    <mergeCell ref="A8:G8"/>
    <mergeCell ref="C9:D9"/>
    <mergeCell ref="F10:G10"/>
    <mergeCell ref="F13:G13"/>
    <mergeCell ref="F12:G12"/>
    <mergeCell ref="F11:G11"/>
    <mergeCell ref="F18:G18"/>
    <mergeCell ref="F15:G15"/>
    <mergeCell ref="F16:G16"/>
    <mergeCell ref="F17:G17"/>
    <mergeCell ref="F58:G58"/>
    <mergeCell ref="F54:G54"/>
    <mergeCell ref="A41:G41"/>
    <mergeCell ref="C42:D42"/>
    <mergeCell ref="F48:G48"/>
    <mergeCell ref="F43:G43"/>
    <mergeCell ref="C49:D49"/>
    <mergeCell ref="C57:D57"/>
    <mergeCell ref="F57:G57"/>
    <mergeCell ref="F52:G52"/>
    <mergeCell ref="F50:G50"/>
  </mergeCells>
  <phoneticPr fontId="26" type="noConversion"/>
  <printOptions horizontalCentered="1"/>
  <pageMargins left="0.39370078740157483" right="0" top="0.35433070866141736" bottom="0" header="0" footer="0"/>
  <pageSetup scale="74" orientation="landscape" r:id="rId1"/>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017"/>
  <sheetViews>
    <sheetView showGridLines="0" view="pageBreakPreview" topLeftCell="A52" zoomScale="80" zoomScaleNormal="115" zoomScaleSheetLayoutView="80" workbookViewId="0">
      <selection activeCell="H16" sqref="H16"/>
    </sheetView>
  </sheetViews>
  <sheetFormatPr defaultColWidth="14.44140625" defaultRowHeight="15" customHeight="1" x14ac:dyDescent="0.25"/>
  <cols>
    <col min="1" max="1" width="5.44140625" customWidth="1"/>
    <col min="2" max="2" width="11.88671875" customWidth="1"/>
    <col min="3" max="3" width="55.6640625" customWidth="1"/>
    <col min="4" max="4" width="9.109375" customWidth="1"/>
    <col min="5" max="5" width="12.33203125" customWidth="1"/>
    <col min="6" max="7" width="12.33203125" style="82" customWidth="1"/>
    <col min="8" max="8" width="13.44140625" style="82" bestFit="1" customWidth="1"/>
    <col min="9" max="9" width="49.6640625" customWidth="1"/>
    <col min="10" max="10" width="9.5546875" customWidth="1"/>
    <col min="11" max="26" width="8" customWidth="1"/>
  </cols>
  <sheetData>
    <row r="1" spans="1:9" ht="11.25" customHeight="1" x14ac:dyDescent="0.25">
      <c r="A1" s="205"/>
      <c r="B1" s="206"/>
      <c r="C1" s="206"/>
      <c r="D1" s="206"/>
      <c r="E1" s="206"/>
      <c r="F1" s="207"/>
      <c r="G1" s="207"/>
      <c r="H1" s="208"/>
    </row>
    <row r="2" spans="1:9" ht="27" customHeight="1" x14ac:dyDescent="0.4">
      <c r="A2" s="286" t="s">
        <v>257</v>
      </c>
      <c r="B2" s="287"/>
      <c r="C2" s="287"/>
      <c r="D2" s="287"/>
      <c r="E2" s="287"/>
      <c r="F2" s="287"/>
      <c r="G2" s="287"/>
      <c r="H2" s="288"/>
    </row>
    <row r="3" spans="1:9" ht="15" customHeight="1" x14ac:dyDescent="0.25">
      <c r="A3" s="289" t="s">
        <v>258</v>
      </c>
      <c r="B3" s="290"/>
      <c r="C3" s="290"/>
      <c r="D3" s="290"/>
      <c r="E3" s="290"/>
      <c r="F3" s="290"/>
      <c r="G3" s="290"/>
      <c r="H3" s="291"/>
    </row>
    <row r="4" spans="1:9" ht="15" customHeight="1" x14ac:dyDescent="0.3">
      <c r="A4" s="292" t="s">
        <v>259</v>
      </c>
      <c r="B4" s="293"/>
      <c r="C4" s="293"/>
      <c r="D4" s="293"/>
      <c r="E4" s="293"/>
      <c r="F4" s="293"/>
      <c r="G4" s="293"/>
      <c r="H4" s="294"/>
      <c r="I4" s="159"/>
    </row>
    <row r="5" spans="1:9" ht="15" customHeight="1" x14ac:dyDescent="0.3">
      <c r="A5" s="295" t="s">
        <v>260</v>
      </c>
      <c r="B5" s="296"/>
      <c r="C5" s="296"/>
      <c r="D5" s="296"/>
      <c r="E5" s="296"/>
      <c r="F5" s="296"/>
      <c r="G5" s="296"/>
      <c r="H5" s="297"/>
      <c r="I5" s="160"/>
    </row>
    <row r="6" spans="1:9" ht="15" customHeight="1" x14ac:dyDescent="0.25">
      <c r="A6" s="209"/>
      <c r="H6" s="210"/>
    </row>
    <row r="7" spans="1:9" ht="3.75" customHeight="1" thickBot="1" x14ac:dyDescent="0.3">
      <c r="A7" s="299"/>
      <c r="B7" s="300"/>
      <c r="C7" s="300"/>
      <c r="D7" s="300"/>
      <c r="E7" s="300"/>
      <c r="F7" s="300"/>
      <c r="G7" s="300"/>
      <c r="H7" s="301"/>
    </row>
    <row r="8" spans="1:9" ht="16.5" customHeight="1" thickBot="1" x14ac:dyDescent="0.3">
      <c r="A8" s="308" t="s">
        <v>253</v>
      </c>
      <c r="B8" s="309"/>
      <c r="C8" s="309"/>
      <c r="D8" s="309"/>
      <c r="E8" s="309"/>
      <c r="F8" s="309"/>
      <c r="G8" s="309"/>
      <c r="H8" s="310"/>
    </row>
    <row r="9" spans="1:9" ht="19.5" customHeight="1" thickBot="1" x14ac:dyDescent="0.3">
      <c r="A9" s="302" t="s">
        <v>0</v>
      </c>
      <c r="B9" s="303"/>
      <c r="C9" s="303"/>
      <c r="D9" s="303"/>
      <c r="E9" s="303"/>
      <c r="F9" s="303"/>
      <c r="G9" s="303"/>
      <c r="H9" s="304"/>
    </row>
    <row r="10" spans="1:9" ht="3.75" customHeight="1" thickBot="1" x14ac:dyDescent="0.3">
      <c r="A10" s="96"/>
      <c r="B10" s="1"/>
      <c r="C10" s="1"/>
      <c r="D10" s="1"/>
      <c r="E10" s="1"/>
      <c r="F10" s="75"/>
      <c r="G10" s="75"/>
      <c r="H10" s="97"/>
    </row>
    <row r="11" spans="1:9" ht="19.5" customHeight="1" x14ac:dyDescent="0.25">
      <c r="A11" s="161" t="s">
        <v>99</v>
      </c>
      <c r="B11" s="108"/>
      <c r="C11" s="108"/>
      <c r="D11" s="108"/>
      <c r="E11" s="109"/>
      <c r="F11" s="305" t="s">
        <v>251</v>
      </c>
      <c r="G11" s="306"/>
      <c r="H11" s="307"/>
    </row>
    <row r="12" spans="1:9" ht="19.5" customHeight="1" x14ac:dyDescent="0.25">
      <c r="A12" s="162" t="s">
        <v>232</v>
      </c>
      <c r="B12" s="110"/>
      <c r="C12" s="110"/>
      <c r="D12" s="110"/>
      <c r="E12" s="111"/>
      <c r="F12" s="163" t="s">
        <v>235</v>
      </c>
      <c r="G12" s="164"/>
      <c r="H12" s="165"/>
    </row>
    <row r="13" spans="1:9" ht="18" customHeight="1" x14ac:dyDescent="0.25">
      <c r="A13" s="314" t="s">
        <v>100</v>
      </c>
      <c r="B13" s="315"/>
      <c r="C13" s="315"/>
      <c r="D13" s="315"/>
      <c r="E13" s="316"/>
      <c r="F13" s="163" t="s">
        <v>238</v>
      </c>
      <c r="G13" s="164"/>
      <c r="H13" s="165"/>
    </row>
    <row r="14" spans="1:9" ht="42.6" customHeight="1" x14ac:dyDescent="0.25">
      <c r="A14" s="267" t="s">
        <v>252</v>
      </c>
      <c r="B14" s="268"/>
      <c r="C14" s="268"/>
      <c r="D14" s="269"/>
      <c r="E14" s="270" t="s">
        <v>25</v>
      </c>
      <c r="F14" s="271"/>
      <c r="G14" s="271"/>
      <c r="H14" s="272"/>
    </row>
    <row r="15" spans="1:9" ht="19.5" customHeight="1" x14ac:dyDescent="0.25">
      <c r="A15" s="273" t="s">
        <v>254</v>
      </c>
      <c r="B15" s="274"/>
      <c r="C15" s="274"/>
      <c r="D15" s="275"/>
      <c r="E15" s="95" t="s">
        <v>1</v>
      </c>
      <c r="F15" s="94" t="s">
        <v>2</v>
      </c>
      <c r="G15" s="76" t="s">
        <v>3</v>
      </c>
      <c r="H15" s="98" t="s">
        <v>4</v>
      </c>
    </row>
    <row r="16" spans="1:9" ht="12" customHeight="1" thickBot="1" x14ac:dyDescent="0.3">
      <c r="A16" s="276"/>
      <c r="B16" s="277"/>
      <c r="C16" s="277"/>
      <c r="D16" s="278"/>
      <c r="E16" s="221" t="s">
        <v>95</v>
      </c>
      <c r="F16" s="220">
        <v>0.03</v>
      </c>
      <c r="G16" s="93" t="s">
        <v>96</v>
      </c>
      <c r="H16" s="99">
        <f>BDI!H12</f>
        <v>0.29457594244604324</v>
      </c>
    </row>
    <row r="17" spans="1:10" ht="3.75" customHeight="1" thickBot="1" x14ac:dyDescent="0.3">
      <c r="A17" s="311"/>
      <c r="B17" s="312"/>
      <c r="C17" s="312"/>
      <c r="D17" s="312"/>
      <c r="E17" s="312"/>
      <c r="F17" s="312"/>
      <c r="G17" s="312"/>
      <c r="H17" s="313"/>
    </row>
    <row r="18" spans="1:10" ht="39" customHeight="1" thickBot="1" x14ac:dyDescent="0.3">
      <c r="A18" s="100" t="s">
        <v>5</v>
      </c>
      <c r="B18" s="6" t="s">
        <v>6</v>
      </c>
      <c r="C18" s="6" t="s">
        <v>7</v>
      </c>
      <c r="D18" s="6" t="s">
        <v>8</v>
      </c>
      <c r="E18" s="6" t="s">
        <v>9</v>
      </c>
      <c r="F18" s="77" t="s">
        <v>10</v>
      </c>
      <c r="G18" s="77" t="s">
        <v>11</v>
      </c>
      <c r="H18" s="101" t="s">
        <v>12</v>
      </c>
    </row>
    <row r="19" spans="1:10" ht="18" customHeight="1" x14ac:dyDescent="0.25">
      <c r="A19" s="102">
        <v>1</v>
      </c>
      <c r="B19" s="68" t="s">
        <v>13</v>
      </c>
      <c r="C19" s="69" t="s">
        <v>14</v>
      </c>
      <c r="D19" s="70"/>
      <c r="E19" s="71"/>
      <c r="F19" s="78"/>
      <c r="G19" s="79"/>
      <c r="H19" s="103">
        <f>SUM(H20)</f>
        <v>1088.5747331979971</v>
      </c>
    </row>
    <row r="20" spans="1:10" ht="78.75" customHeight="1" thickBot="1" x14ac:dyDescent="0.3">
      <c r="A20" s="3" t="s">
        <v>15</v>
      </c>
      <c r="B20" s="67" t="s">
        <v>248</v>
      </c>
      <c r="C20" s="11" t="s">
        <v>250</v>
      </c>
      <c r="D20" s="4" t="s">
        <v>49</v>
      </c>
      <c r="E20" s="7">
        <f>'MEC 01 '!E7</f>
        <v>2.88</v>
      </c>
      <c r="F20" s="80">
        <v>291.97000000000003</v>
      </c>
      <c r="G20" s="81">
        <f t="shared" ref="G20:G60" si="0">F20+(F20*$H$16)</f>
        <v>377.97733791597125</v>
      </c>
      <c r="H20" s="81">
        <f>E20*G20</f>
        <v>1088.5747331979971</v>
      </c>
      <c r="J20" s="2"/>
    </row>
    <row r="21" spans="1:10" ht="19.5" customHeight="1" x14ac:dyDescent="0.25">
      <c r="A21" s="279" t="s">
        <v>101</v>
      </c>
      <c r="B21" s="252"/>
      <c r="C21" s="252"/>
      <c r="D21" s="252"/>
      <c r="E21" s="252"/>
      <c r="F21" s="252"/>
      <c r="G21" s="252"/>
      <c r="H21" s="280"/>
      <c r="J21" s="2"/>
    </row>
    <row r="22" spans="1:10" ht="18" customHeight="1" x14ac:dyDescent="0.25">
      <c r="A22" s="102">
        <v>2</v>
      </c>
      <c r="B22" s="68"/>
      <c r="C22" s="69" t="s">
        <v>44</v>
      </c>
      <c r="D22" s="70"/>
      <c r="E22" s="71"/>
      <c r="F22" s="78"/>
      <c r="G22" s="79"/>
      <c r="H22" s="103">
        <f>SUM(H23:H26)</f>
        <v>1724.4597429302087</v>
      </c>
    </row>
    <row r="23" spans="1:10" s="72" customFormat="1" ht="19.95" customHeight="1" x14ac:dyDescent="0.25">
      <c r="A23" s="3" t="s">
        <v>21</v>
      </c>
      <c r="B23" s="67" t="s">
        <v>103</v>
      </c>
      <c r="C23" s="66" t="s">
        <v>102</v>
      </c>
      <c r="D23" s="9" t="s">
        <v>22</v>
      </c>
      <c r="E23" s="8">
        <f>'MEC 01 '!E10</f>
        <v>7.3829999999999982</v>
      </c>
      <c r="F23" s="80">
        <v>32.42</v>
      </c>
      <c r="G23" s="81">
        <f t="shared" si="0"/>
        <v>41.970152054100723</v>
      </c>
      <c r="H23" s="81">
        <f t="shared" ref="H23:H60" si="1">E23*G23</f>
        <v>309.86563261542557</v>
      </c>
      <c r="J23" s="73"/>
    </row>
    <row r="24" spans="1:10" s="72" customFormat="1" ht="19.95" customHeight="1" x14ac:dyDescent="0.25">
      <c r="A24" s="3" t="s">
        <v>16</v>
      </c>
      <c r="B24" s="67" t="s">
        <v>105</v>
      </c>
      <c r="C24" s="66" t="s">
        <v>104</v>
      </c>
      <c r="D24" s="9" t="s">
        <v>22</v>
      </c>
      <c r="E24" s="8">
        <f>'MEC 01 '!E11</f>
        <v>7.3829999999999982</v>
      </c>
      <c r="F24" s="80">
        <v>38.17</v>
      </c>
      <c r="G24" s="81">
        <f t="shared" si="0"/>
        <v>49.413963723165473</v>
      </c>
      <c r="H24" s="81">
        <f t="shared" si="1"/>
        <v>364.82329416813059</v>
      </c>
      <c r="J24" s="73"/>
    </row>
    <row r="25" spans="1:10" s="72" customFormat="1" ht="21.6" x14ac:dyDescent="0.25">
      <c r="A25" s="3" t="s">
        <v>23</v>
      </c>
      <c r="B25" s="67" t="s">
        <v>85</v>
      </c>
      <c r="C25" s="66" t="s">
        <v>106</v>
      </c>
      <c r="D25" s="9" t="s">
        <v>22</v>
      </c>
      <c r="E25" s="8">
        <f>'MEC 01 '!E12</f>
        <v>13.526999999999999</v>
      </c>
      <c r="F25" s="80">
        <v>55.11</v>
      </c>
      <c r="G25" s="81">
        <f t="shared" si="0"/>
        <v>71.344080188201445</v>
      </c>
      <c r="H25" s="81">
        <f t="shared" si="1"/>
        <v>965.07137270580085</v>
      </c>
      <c r="J25" s="73"/>
    </row>
    <row r="26" spans="1:10" s="72" customFormat="1" ht="19.95" customHeight="1" x14ac:dyDescent="0.25">
      <c r="A26" s="3" t="s">
        <v>107</v>
      </c>
      <c r="B26" s="67" t="s">
        <v>86</v>
      </c>
      <c r="C26" s="66" t="s">
        <v>26</v>
      </c>
      <c r="D26" s="9" t="s">
        <v>18</v>
      </c>
      <c r="E26" s="8">
        <f>'MEC 01 '!E13</f>
        <v>3.5100000000000002</v>
      </c>
      <c r="F26" s="80">
        <v>18.64</v>
      </c>
      <c r="G26" s="81">
        <f t="shared" si="0"/>
        <v>24.130895567194248</v>
      </c>
      <c r="H26" s="81">
        <f t="shared" si="1"/>
        <v>84.699443440851809</v>
      </c>
      <c r="J26" s="73"/>
    </row>
    <row r="27" spans="1:10" ht="18" customHeight="1" x14ac:dyDescent="0.25">
      <c r="A27" s="102">
        <v>3</v>
      </c>
      <c r="B27" s="68"/>
      <c r="C27" s="69" t="s">
        <v>68</v>
      </c>
      <c r="D27" s="70"/>
      <c r="E27" s="71"/>
      <c r="F27" s="78"/>
      <c r="G27" s="79"/>
      <c r="H27" s="103">
        <f>SUM(H28:H34)</f>
        <v>5155.1390649649147</v>
      </c>
    </row>
    <row r="28" spans="1:10" ht="13.2" x14ac:dyDescent="0.25">
      <c r="A28" s="5" t="s">
        <v>17</v>
      </c>
      <c r="B28" s="67" t="s">
        <v>109</v>
      </c>
      <c r="C28" s="11" t="s">
        <v>108</v>
      </c>
      <c r="D28" s="9" t="s">
        <v>24</v>
      </c>
      <c r="E28" s="8">
        <f>'MEC 01 '!E15</f>
        <v>12</v>
      </c>
      <c r="F28" s="80">
        <v>18.64</v>
      </c>
      <c r="G28" s="81">
        <f t="shared" ref="G28:G34" si="2">F28+(F28*$H$16)</f>
        <v>24.130895567194248</v>
      </c>
      <c r="H28" s="81">
        <f t="shared" ref="H28:H34" si="3">E28*G28</f>
        <v>289.57074680633099</v>
      </c>
    </row>
    <row r="29" spans="1:10" ht="29.25" customHeight="1" x14ac:dyDescent="0.25">
      <c r="A29" s="5" t="s">
        <v>27</v>
      </c>
      <c r="B29" s="67" t="s">
        <v>87</v>
      </c>
      <c r="C29" s="11" t="s">
        <v>47</v>
      </c>
      <c r="D29" s="9" t="s">
        <v>18</v>
      </c>
      <c r="E29" s="8">
        <f>'MEC 01 '!E16</f>
        <v>14.040000000000001</v>
      </c>
      <c r="F29" s="80">
        <v>56.68</v>
      </c>
      <c r="G29" s="81">
        <f t="shared" si="2"/>
        <v>73.376564417841735</v>
      </c>
      <c r="H29" s="81">
        <f t="shared" si="3"/>
        <v>1030.206964426498</v>
      </c>
      <c r="I29" s="74">
        <f>E29+E36</f>
        <v>42.84</v>
      </c>
      <c r="J29" s="2"/>
    </row>
    <row r="30" spans="1:10" ht="26.25" customHeight="1" x14ac:dyDescent="0.25">
      <c r="A30" s="5" t="s">
        <v>30</v>
      </c>
      <c r="B30" s="67" t="s">
        <v>88</v>
      </c>
      <c r="C30" s="66" t="s">
        <v>45</v>
      </c>
      <c r="D30" s="9" t="s">
        <v>22</v>
      </c>
      <c r="E30" s="8">
        <f>'MEC 01 '!E17</f>
        <v>0.51500000000000001</v>
      </c>
      <c r="F30" s="80">
        <v>492.99</v>
      </c>
      <c r="G30" s="81">
        <f t="shared" si="2"/>
        <v>638.2129938664749</v>
      </c>
      <c r="H30" s="81">
        <f t="shared" si="3"/>
        <v>328.67969184123456</v>
      </c>
      <c r="I30" s="74"/>
      <c r="J30" s="2"/>
    </row>
    <row r="31" spans="1:10" s="72" customFormat="1" ht="19.95" customHeight="1" x14ac:dyDescent="0.25">
      <c r="A31" s="5" t="s">
        <v>69</v>
      </c>
      <c r="B31" s="67" t="s">
        <v>89</v>
      </c>
      <c r="C31" s="66" t="s">
        <v>28</v>
      </c>
      <c r="D31" s="9" t="s">
        <v>29</v>
      </c>
      <c r="E31" s="8">
        <f>'MEC 01 '!E18</f>
        <v>76.982000000000014</v>
      </c>
      <c r="F31" s="80">
        <v>13.08</v>
      </c>
      <c r="G31" s="81">
        <f t="shared" si="2"/>
        <v>16.933053327194244</v>
      </c>
      <c r="H31" s="81">
        <f t="shared" si="3"/>
        <v>1303.5403112340675</v>
      </c>
      <c r="I31" s="74" t="e">
        <f>E31+#REF!</f>
        <v>#REF!</v>
      </c>
      <c r="J31" s="73"/>
    </row>
    <row r="32" spans="1:10" ht="46.5" customHeight="1" x14ac:dyDescent="0.25">
      <c r="A32" s="5" t="s">
        <v>140</v>
      </c>
      <c r="B32" s="67" t="s">
        <v>90</v>
      </c>
      <c r="C32" s="11" t="s">
        <v>46</v>
      </c>
      <c r="D32" s="9" t="s">
        <v>22</v>
      </c>
      <c r="E32" s="8">
        <f>'MEC 01 '!E19</f>
        <v>1.2650575041173111</v>
      </c>
      <c r="F32" s="80">
        <v>652.26</v>
      </c>
      <c r="G32" s="81">
        <f t="shared" si="2"/>
        <v>844.40010421985619</v>
      </c>
      <c r="H32" s="81">
        <f t="shared" si="3"/>
        <v>1068.2146883207686</v>
      </c>
      <c r="I32" s="74" t="e">
        <f>E32+#REF!</f>
        <v>#REF!</v>
      </c>
      <c r="J32" s="2"/>
    </row>
    <row r="33" spans="1:10" ht="46.5" customHeight="1" x14ac:dyDescent="0.25">
      <c r="A33" s="5" t="s">
        <v>141</v>
      </c>
      <c r="B33" s="67" t="s">
        <v>111</v>
      </c>
      <c r="C33" s="11" t="s">
        <v>110</v>
      </c>
      <c r="D33" s="9" t="s">
        <v>29</v>
      </c>
      <c r="E33" s="8">
        <f>'MEC 01 '!E20</f>
        <v>15.862000000000002</v>
      </c>
      <c r="F33" s="80">
        <v>24.23</v>
      </c>
      <c r="G33" s="81">
        <f t="shared" si="2"/>
        <v>31.367575085467628</v>
      </c>
      <c r="H33" s="81">
        <f t="shared" si="3"/>
        <v>497.55247600568759</v>
      </c>
      <c r="I33" s="105" t="s">
        <v>112</v>
      </c>
      <c r="J33" s="2"/>
    </row>
    <row r="34" spans="1:10" ht="46.5" customHeight="1" x14ac:dyDescent="0.25">
      <c r="A34" s="5" t="s">
        <v>142</v>
      </c>
      <c r="B34" s="67">
        <v>97096</v>
      </c>
      <c r="C34" s="11" t="s">
        <v>113</v>
      </c>
      <c r="D34" s="9" t="s">
        <v>22</v>
      </c>
      <c r="E34" s="8">
        <f>'MEC 01 '!E21</f>
        <v>0.72100000000000009</v>
      </c>
      <c r="F34" s="80">
        <v>682.86</v>
      </c>
      <c r="G34" s="81">
        <f t="shared" si="2"/>
        <v>884.01412805870507</v>
      </c>
      <c r="H34" s="81">
        <f t="shared" si="3"/>
        <v>637.37418633032644</v>
      </c>
      <c r="I34" s="105"/>
      <c r="J34" s="2"/>
    </row>
    <row r="35" spans="1:10" ht="17.25" customHeight="1" x14ac:dyDescent="0.25">
      <c r="A35" s="102">
        <v>4</v>
      </c>
      <c r="B35" s="68"/>
      <c r="C35" s="69" t="s">
        <v>114</v>
      </c>
      <c r="D35" s="70"/>
      <c r="E35" s="71"/>
      <c r="F35" s="78"/>
      <c r="G35" s="79"/>
      <c r="H35" s="103">
        <f>SUM(H36:H36)</f>
        <v>2210.1829018042017</v>
      </c>
    </row>
    <row r="36" spans="1:10" ht="45.75" customHeight="1" x14ac:dyDescent="0.25">
      <c r="A36" s="5" t="s">
        <v>19</v>
      </c>
      <c r="B36" s="67" t="s">
        <v>116</v>
      </c>
      <c r="C36" s="11" t="s">
        <v>115</v>
      </c>
      <c r="D36" s="9" t="s">
        <v>18</v>
      </c>
      <c r="E36" s="8">
        <f>'MEC 01 '!E23</f>
        <v>28.8</v>
      </c>
      <c r="F36" s="80">
        <v>59.28</v>
      </c>
      <c r="G36" s="81">
        <f t="shared" si="0"/>
        <v>76.742461868201445</v>
      </c>
      <c r="H36" s="81">
        <f t="shared" si="1"/>
        <v>2210.1829018042017</v>
      </c>
      <c r="J36" s="2"/>
    </row>
    <row r="37" spans="1:10" ht="29.25" customHeight="1" x14ac:dyDescent="0.25">
      <c r="A37" s="102">
        <v>5</v>
      </c>
      <c r="B37" s="68"/>
      <c r="C37" s="69" t="s">
        <v>117</v>
      </c>
      <c r="D37" s="70"/>
      <c r="E37" s="70"/>
      <c r="F37" s="78"/>
      <c r="G37" s="79"/>
      <c r="H37" s="103">
        <f>SUM(H38:H38)</f>
        <v>1807.8416446513961</v>
      </c>
      <c r="J37" s="2"/>
    </row>
    <row r="38" spans="1:10" ht="29.25" customHeight="1" x14ac:dyDescent="0.25">
      <c r="A38" s="3" t="s">
        <v>31</v>
      </c>
      <c r="B38" s="67" t="s">
        <v>119</v>
      </c>
      <c r="C38" s="11" t="s">
        <v>118</v>
      </c>
      <c r="D38" s="9" t="s">
        <v>18</v>
      </c>
      <c r="E38" s="8">
        <f>'MEC 01 '!E25</f>
        <v>10.3</v>
      </c>
      <c r="F38" s="65">
        <v>135.58000000000001</v>
      </c>
      <c r="G38" s="81">
        <f t="shared" si="0"/>
        <v>175.51860627683456</v>
      </c>
      <c r="H38" s="81">
        <f t="shared" ref="H38" si="4">E38*G38</f>
        <v>1807.8416446513961</v>
      </c>
      <c r="J38" s="2"/>
    </row>
    <row r="39" spans="1:10" ht="18" customHeight="1" x14ac:dyDescent="0.25">
      <c r="A39" s="102">
        <v>6</v>
      </c>
      <c r="B39" s="68"/>
      <c r="C39" s="69" t="s">
        <v>120</v>
      </c>
      <c r="D39" s="70"/>
      <c r="E39" s="70"/>
      <c r="F39" s="78"/>
      <c r="G39" s="79"/>
      <c r="H39" s="103">
        <f>SUM(H40:H41)</f>
        <v>3594.7105117471942</v>
      </c>
    </row>
    <row r="40" spans="1:10" ht="66" customHeight="1" x14ac:dyDescent="0.25">
      <c r="A40" s="3" t="s">
        <v>33</v>
      </c>
      <c r="B40" s="59">
        <v>87529</v>
      </c>
      <c r="C40" s="83" t="s">
        <v>121</v>
      </c>
      <c r="D40" s="9" t="s">
        <v>18</v>
      </c>
      <c r="E40" s="8">
        <f>'MEC 01 '!E27</f>
        <v>66.349999999999994</v>
      </c>
      <c r="F40" s="80">
        <v>33.82</v>
      </c>
      <c r="G40" s="81">
        <f t="shared" si="0"/>
        <v>43.782558373525184</v>
      </c>
      <c r="H40" s="81">
        <f t="shared" si="1"/>
        <v>2904.9727480833958</v>
      </c>
      <c r="J40" s="2"/>
    </row>
    <row r="41" spans="1:10" ht="43.5" customHeight="1" x14ac:dyDescent="0.25">
      <c r="A41" s="5" t="s">
        <v>32</v>
      </c>
      <c r="B41" s="59" t="s">
        <v>91</v>
      </c>
      <c r="C41" s="11" t="s">
        <v>122</v>
      </c>
      <c r="D41" s="9" t="s">
        <v>18</v>
      </c>
      <c r="E41" s="8">
        <f>'MEC 01 '!E28</f>
        <v>66.349999999999994</v>
      </c>
      <c r="F41" s="80">
        <v>8.0299999999999994</v>
      </c>
      <c r="G41" s="81">
        <f t="shared" ref="G41" si="5">F41+(F41*$H$16)</f>
        <v>10.395444817841726</v>
      </c>
      <c r="H41" s="81">
        <f t="shared" ref="H41" si="6">E41*G41</f>
        <v>689.73776366379843</v>
      </c>
      <c r="J41" s="2"/>
    </row>
    <row r="42" spans="1:10" ht="18" customHeight="1" x14ac:dyDescent="0.25">
      <c r="A42" s="102">
        <v>7</v>
      </c>
      <c r="B42" s="68"/>
      <c r="C42" s="69" t="s">
        <v>41</v>
      </c>
      <c r="D42" s="70"/>
      <c r="E42" s="70"/>
      <c r="F42" s="78"/>
      <c r="G42" s="79"/>
      <c r="H42" s="103">
        <f>SUM(H43:H44)</f>
        <v>1355.4248954688346</v>
      </c>
    </row>
    <row r="43" spans="1:10" s="72" customFormat="1" ht="27" customHeight="1" x14ac:dyDescent="0.25">
      <c r="A43" s="5" t="s">
        <v>33</v>
      </c>
      <c r="B43" s="67">
        <v>88485</v>
      </c>
      <c r="C43" s="66" t="s">
        <v>123</v>
      </c>
      <c r="D43" s="9" t="s">
        <v>18</v>
      </c>
      <c r="E43" s="8">
        <f>'MEC 01 '!E30</f>
        <v>66.349999999999994</v>
      </c>
      <c r="F43" s="80">
        <v>2.72</v>
      </c>
      <c r="G43" s="81">
        <f t="shared" si="0"/>
        <v>3.5212465634532379</v>
      </c>
      <c r="H43" s="81">
        <f t="shared" si="1"/>
        <v>233.63470948512233</v>
      </c>
      <c r="I43" s="74"/>
      <c r="J43" s="73"/>
    </row>
    <row r="44" spans="1:10" s="72" customFormat="1" ht="29.25" customHeight="1" x14ac:dyDescent="0.25">
      <c r="A44" s="5" t="s">
        <v>34</v>
      </c>
      <c r="B44" s="67">
        <v>88489</v>
      </c>
      <c r="C44" s="66" t="s">
        <v>124</v>
      </c>
      <c r="D44" s="9" t="s">
        <v>18</v>
      </c>
      <c r="E44" s="8">
        <f>'MEC 01 '!E31</f>
        <v>66.349999999999994</v>
      </c>
      <c r="F44" s="80">
        <v>13.06</v>
      </c>
      <c r="G44" s="81">
        <f t="shared" si="0"/>
        <v>16.907161808345325</v>
      </c>
      <c r="H44" s="81">
        <f t="shared" si="1"/>
        <v>1121.7901859837123</v>
      </c>
      <c r="I44" s="74"/>
      <c r="J44" s="73"/>
    </row>
    <row r="45" spans="1:10" ht="18" customHeight="1" x14ac:dyDescent="0.25">
      <c r="A45" s="281" t="s">
        <v>125</v>
      </c>
      <c r="B45" s="282"/>
      <c r="C45" s="282"/>
      <c r="D45" s="282"/>
      <c r="E45" s="282"/>
      <c r="F45" s="282"/>
      <c r="G45" s="282"/>
      <c r="H45" s="283"/>
    </row>
    <row r="46" spans="1:10" ht="18" customHeight="1" x14ac:dyDescent="0.25">
      <c r="A46" s="102">
        <v>8</v>
      </c>
      <c r="B46" s="68"/>
      <c r="C46" s="69" t="s">
        <v>241</v>
      </c>
      <c r="D46" s="70"/>
      <c r="E46" s="71"/>
      <c r="F46" s="78"/>
      <c r="G46" s="79"/>
      <c r="H46" s="103">
        <f>SUM(H47:H52)</f>
        <v>40403.116292910025</v>
      </c>
    </row>
    <row r="47" spans="1:10" ht="54" customHeight="1" x14ac:dyDescent="0.25">
      <c r="A47" s="3" t="s">
        <v>184</v>
      </c>
      <c r="B47" s="67">
        <v>94277</v>
      </c>
      <c r="C47" s="11" t="s">
        <v>126</v>
      </c>
      <c r="D47" s="9" t="str">
        <f>'MEC 01 '!D34</f>
        <v>M</v>
      </c>
      <c r="E47" s="8">
        <f>'MEC 01 '!E34</f>
        <v>212.71999999999997</v>
      </c>
      <c r="F47" s="80">
        <v>52.59</v>
      </c>
      <c r="G47" s="81">
        <f t="shared" si="0"/>
        <v>68.081748813237425</v>
      </c>
      <c r="H47" s="81">
        <f t="shared" si="1"/>
        <v>14482.349607551863</v>
      </c>
      <c r="J47" s="2"/>
    </row>
    <row r="48" spans="1:10" ht="42.75" customHeight="1" x14ac:dyDescent="0.25">
      <c r="A48" s="3" t="s">
        <v>185</v>
      </c>
      <c r="B48" s="67">
        <v>92393</v>
      </c>
      <c r="C48" s="11" t="s">
        <v>127</v>
      </c>
      <c r="D48" s="9" t="s">
        <v>18</v>
      </c>
      <c r="E48" s="8">
        <f>'MEC 01 '!E35</f>
        <v>202.42000000000002</v>
      </c>
      <c r="F48" s="80">
        <v>55.83</v>
      </c>
      <c r="G48" s="81">
        <f t="shared" si="0"/>
        <v>72.276174866762588</v>
      </c>
      <c r="H48" s="81">
        <f t="shared" si="1"/>
        <v>14630.143316530084</v>
      </c>
      <c r="J48" s="2"/>
    </row>
    <row r="49" spans="1:10" ht="39.75" customHeight="1" x14ac:dyDescent="0.25">
      <c r="A49" s="3" t="s">
        <v>186</v>
      </c>
      <c r="B49" s="67" t="s">
        <v>151</v>
      </c>
      <c r="C49" s="11" t="s">
        <v>150</v>
      </c>
      <c r="D49" s="9" t="s">
        <v>24</v>
      </c>
      <c r="E49" s="8">
        <f>'MEC 01 '!E36</f>
        <v>29.45</v>
      </c>
      <c r="F49" s="80">
        <v>150.16</v>
      </c>
      <c r="G49" s="81">
        <f t="shared" si="0"/>
        <v>194.39352351769784</v>
      </c>
      <c r="H49" s="81">
        <f t="shared" si="1"/>
        <v>5724.8892675962015</v>
      </c>
      <c r="J49" s="2"/>
    </row>
    <row r="50" spans="1:10" ht="39.75" customHeight="1" x14ac:dyDescent="0.25">
      <c r="A50" s="3" t="s">
        <v>187</v>
      </c>
      <c r="B50" s="67" t="s">
        <v>75</v>
      </c>
      <c r="C50" s="11" t="s">
        <v>242</v>
      </c>
      <c r="D50" s="9" t="s">
        <v>49</v>
      </c>
      <c r="E50" s="8">
        <f>'MEC 01 '!E37</f>
        <v>464</v>
      </c>
      <c r="F50" s="80">
        <f>'COMPOSIÇÃO DE CUSTO'!G6</f>
        <v>5.0730000000000004</v>
      </c>
      <c r="G50" s="81">
        <f t="shared" si="0"/>
        <v>6.5673837560287778</v>
      </c>
      <c r="H50" s="81">
        <f t="shared" si="1"/>
        <v>3047.2660627973528</v>
      </c>
      <c r="J50" s="2"/>
    </row>
    <row r="51" spans="1:10" ht="54" x14ac:dyDescent="0.25">
      <c r="A51" s="3" t="s">
        <v>188</v>
      </c>
      <c r="B51" s="67" t="s">
        <v>154</v>
      </c>
      <c r="C51" s="11" t="s">
        <v>153</v>
      </c>
      <c r="D51" s="9" t="s">
        <v>49</v>
      </c>
      <c r="E51" s="8">
        <f>'MEC 01 '!E38</f>
        <v>4</v>
      </c>
      <c r="F51" s="80">
        <v>280.31</v>
      </c>
      <c r="G51" s="81">
        <f t="shared" si="0"/>
        <v>362.88258242705035</v>
      </c>
      <c r="H51" s="81">
        <f t="shared" si="1"/>
        <v>1451.5303297082014</v>
      </c>
      <c r="J51" s="2"/>
    </row>
    <row r="52" spans="1:10" ht="28.2" customHeight="1" x14ac:dyDescent="0.25">
      <c r="A52" s="3" t="s">
        <v>245</v>
      </c>
      <c r="B52" s="112" t="s">
        <v>157</v>
      </c>
      <c r="C52" s="114" t="s">
        <v>158</v>
      </c>
      <c r="D52" s="9" t="s">
        <v>98</v>
      </c>
      <c r="E52" s="8">
        <f>'MEC 01 '!E39</f>
        <v>12</v>
      </c>
      <c r="F52" s="80">
        <v>68.680000000000007</v>
      </c>
      <c r="G52" s="81">
        <f t="shared" si="0"/>
        <v>88.911475727194258</v>
      </c>
      <c r="H52" s="81">
        <f t="shared" si="1"/>
        <v>1066.937708726331</v>
      </c>
      <c r="J52" s="2"/>
    </row>
    <row r="53" spans="1:10" ht="13.2" x14ac:dyDescent="0.25">
      <c r="A53" s="284" t="s">
        <v>156</v>
      </c>
      <c r="B53" s="243"/>
      <c r="C53" s="243"/>
      <c r="D53" s="243"/>
      <c r="E53" s="243"/>
      <c r="F53" s="243"/>
      <c r="G53" s="243"/>
      <c r="H53" s="285"/>
      <c r="I53" s="10"/>
      <c r="J53" s="2"/>
    </row>
    <row r="54" spans="1:10" ht="15.6" x14ac:dyDescent="0.25">
      <c r="A54" s="61">
        <v>9</v>
      </c>
      <c r="B54" s="62"/>
      <c r="C54" s="117" t="s">
        <v>237</v>
      </c>
      <c r="D54" s="118"/>
      <c r="E54" s="118"/>
      <c r="F54" s="118"/>
      <c r="G54" s="79"/>
      <c r="H54" s="103">
        <f>SUM(H55:H60)</f>
        <v>11229.643755350271</v>
      </c>
      <c r="J54" s="2"/>
    </row>
    <row r="55" spans="1:10" ht="45" customHeight="1" x14ac:dyDescent="0.25">
      <c r="A55" s="3" t="s">
        <v>37</v>
      </c>
      <c r="B55" s="67" t="s">
        <v>85</v>
      </c>
      <c r="C55" s="66" t="s">
        <v>106</v>
      </c>
      <c r="D55" s="9" t="s">
        <v>22</v>
      </c>
      <c r="E55" s="8">
        <f>'MEC 01 '!E43</f>
        <v>2.4390000000000001</v>
      </c>
      <c r="F55" s="80">
        <v>55.11</v>
      </c>
      <c r="G55" s="81">
        <f t="shared" si="0"/>
        <v>71.344080188201445</v>
      </c>
      <c r="H55" s="81">
        <f t="shared" si="1"/>
        <v>174.00821157902334</v>
      </c>
      <c r="J55" s="2"/>
    </row>
    <row r="56" spans="1:10" ht="45" customHeight="1" x14ac:dyDescent="0.25">
      <c r="A56" s="3" t="s">
        <v>97</v>
      </c>
      <c r="B56" s="67" t="s">
        <v>191</v>
      </c>
      <c r="C56" s="11" t="s">
        <v>192</v>
      </c>
      <c r="D56" s="9" t="s">
        <v>24</v>
      </c>
      <c r="E56" s="8">
        <f>'MEC 01 '!E44</f>
        <v>15</v>
      </c>
      <c r="F56" s="80">
        <v>24.31</v>
      </c>
      <c r="G56" s="81">
        <f t="shared" si="0"/>
        <v>31.471141160863311</v>
      </c>
      <c r="H56" s="81">
        <f t="shared" si="1"/>
        <v>472.06711741294964</v>
      </c>
      <c r="J56" s="2"/>
    </row>
    <row r="57" spans="1:10" ht="28.2" customHeight="1" x14ac:dyDescent="0.25">
      <c r="A57" s="3" t="s">
        <v>160</v>
      </c>
      <c r="B57" s="67" t="s">
        <v>87</v>
      </c>
      <c r="C57" s="11" t="s">
        <v>47</v>
      </c>
      <c r="D57" s="9" t="s">
        <v>18</v>
      </c>
      <c r="E57" s="8">
        <f>'MEC 01 '!E45</f>
        <v>24.39</v>
      </c>
      <c r="F57" s="80">
        <v>56.68</v>
      </c>
      <c r="G57" s="81">
        <f t="shared" si="0"/>
        <v>73.376564417841735</v>
      </c>
      <c r="H57" s="81">
        <f t="shared" si="1"/>
        <v>1789.6544061511599</v>
      </c>
      <c r="J57" s="2"/>
    </row>
    <row r="58" spans="1:10" ht="26.25" customHeight="1" x14ac:dyDescent="0.25">
      <c r="A58" s="3" t="s">
        <v>161</v>
      </c>
      <c r="B58" s="67" t="s">
        <v>88</v>
      </c>
      <c r="C58" s="66" t="s">
        <v>45</v>
      </c>
      <c r="D58" s="9" t="s">
        <v>22</v>
      </c>
      <c r="E58" s="8">
        <f>'MEC 01 '!E46</f>
        <v>0.60975000000000001</v>
      </c>
      <c r="F58" s="80">
        <v>492.99</v>
      </c>
      <c r="G58" s="81">
        <f t="shared" si="0"/>
        <v>638.2129938664749</v>
      </c>
      <c r="H58" s="81">
        <f t="shared" si="1"/>
        <v>389.15037301008306</v>
      </c>
      <c r="J58" s="2"/>
    </row>
    <row r="59" spans="1:10" ht="27" customHeight="1" x14ac:dyDescent="0.25">
      <c r="A59" s="3" t="s">
        <v>162</v>
      </c>
      <c r="B59" s="67" t="s">
        <v>89</v>
      </c>
      <c r="C59" s="66" t="s">
        <v>28</v>
      </c>
      <c r="D59" s="9" t="s">
        <v>29</v>
      </c>
      <c r="E59" s="8">
        <f>'MEC 01 '!E47</f>
        <v>139.73439999999999</v>
      </c>
      <c r="F59" s="80">
        <v>13.08</v>
      </c>
      <c r="G59" s="81">
        <f t="shared" si="0"/>
        <v>16.933053327194244</v>
      </c>
      <c r="H59" s="81">
        <f t="shared" si="1"/>
        <v>2366.1300468434915</v>
      </c>
      <c r="J59" s="2"/>
    </row>
    <row r="60" spans="1:10" ht="52.5" customHeight="1" x14ac:dyDescent="0.25">
      <c r="A60" s="3" t="s">
        <v>189</v>
      </c>
      <c r="B60" s="67" t="s">
        <v>90</v>
      </c>
      <c r="C60" s="11" t="s">
        <v>46</v>
      </c>
      <c r="D60" s="9" t="s">
        <v>22</v>
      </c>
      <c r="E60" s="8">
        <f>'MEC 01 '!E48</f>
        <v>7.1513889803846897</v>
      </c>
      <c r="F60" s="80">
        <v>652.26</v>
      </c>
      <c r="G60" s="81">
        <f t="shared" si="0"/>
        <v>844.40010421985619</v>
      </c>
      <c r="H60" s="81">
        <f t="shared" si="1"/>
        <v>6038.6336003535635</v>
      </c>
      <c r="I60" s="10"/>
      <c r="J60" s="2"/>
    </row>
    <row r="61" spans="1:10" ht="22.5" customHeight="1" x14ac:dyDescent="0.25">
      <c r="A61" s="61">
        <v>10</v>
      </c>
      <c r="B61" s="62"/>
      <c r="C61" s="166" t="s">
        <v>236</v>
      </c>
      <c r="D61" s="79"/>
      <c r="E61" s="79"/>
      <c r="F61" s="79"/>
      <c r="G61" s="79"/>
      <c r="H61" s="119">
        <f>SUM(H62:H68)</f>
        <v>11971.09908373335</v>
      </c>
      <c r="J61" s="2"/>
    </row>
    <row r="62" spans="1:10" ht="21.6" x14ac:dyDescent="0.25">
      <c r="A62" s="3" t="s">
        <v>38</v>
      </c>
      <c r="B62" s="67" t="s">
        <v>85</v>
      </c>
      <c r="C62" s="11" t="s">
        <v>47</v>
      </c>
      <c r="D62" s="9" t="s">
        <v>18</v>
      </c>
      <c r="E62" s="8">
        <f>'MEC 01 '!E50</f>
        <v>11.004000000000001</v>
      </c>
      <c r="F62" s="80">
        <v>55.11</v>
      </c>
      <c r="G62" s="81">
        <f t="shared" ref="G62:G70" si="7">F62+(F62*$H$16)</f>
        <v>71.344080188201445</v>
      </c>
      <c r="H62" s="81">
        <f>E62*G62</f>
        <v>785.07025839096877</v>
      </c>
      <c r="J62" s="2"/>
    </row>
    <row r="63" spans="1:10" ht="13.2" x14ac:dyDescent="0.25">
      <c r="A63" s="3" t="s">
        <v>39</v>
      </c>
      <c r="B63" s="67" t="s">
        <v>89</v>
      </c>
      <c r="C63" s="66" t="s">
        <v>28</v>
      </c>
      <c r="D63" s="9" t="s">
        <v>29</v>
      </c>
      <c r="E63" s="8">
        <f>'MEC 01 '!E51</f>
        <v>150.87</v>
      </c>
      <c r="F63" s="80">
        <v>13.08</v>
      </c>
      <c r="G63" s="81">
        <f t="shared" si="7"/>
        <v>16.933053327194244</v>
      </c>
      <c r="H63" s="81">
        <f t="shared" ref="H63:H68" si="8">E63*G63</f>
        <v>2554.6897554737957</v>
      </c>
      <c r="J63" s="2"/>
    </row>
    <row r="64" spans="1:10" ht="45" customHeight="1" x14ac:dyDescent="0.25">
      <c r="A64" s="3" t="s">
        <v>40</v>
      </c>
      <c r="B64" s="67" t="s">
        <v>90</v>
      </c>
      <c r="C64" s="11" t="s">
        <v>170</v>
      </c>
      <c r="D64" s="9" t="s">
        <v>22</v>
      </c>
      <c r="E64" s="8">
        <f>'MEC 01 '!E52</f>
        <v>2.9106000000000001</v>
      </c>
      <c r="F64" s="80">
        <v>652.26</v>
      </c>
      <c r="G64" s="81">
        <f t="shared" si="7"/>
        <v>844.40010421985619</v>
      </c>
      <c r="H64" s="81">
        <f t="shared" si="8"/>
        <v>2457.7109433423134</v>
      </c>
      <c r="J64" s="2"/>
    </row>
    <row r="65" spans="1:10" s="72" customFormat="1" ht="66" customHeight="1" x14ac:dyDescent="0.25">
      <c r="A65" s="3" t="s">
        <v>173</v>
      </c>
      <c r="B65" s="67" t="s">
        <v>172</v>
      </c>
      <c r="C65" s="113" t="s">
        <v>193</v>
      </c>
      <c r="D65" s="9" t="s">
        <v>24</v>
      </c>
      <c r="E65" s="8">
        <f>'MEC 01 '!E53</f>
        <v>40.65</v>
      </c>
      <c r="F65" s="80">
        <v>19.66</v>
      </c>
      <c r="G65" s="81">
        <f t="shared" si="7"/>
        <v>25.451363028489212</v>
      </c>
      <c r="H65" s="81">
        <f t="shared" si="8"/>
        <v>1034.5979071080865</v>
      </c>
      <c r="J65" s="73"/>
    </row>
    <row r="66" spans="1:10" ht="42.75" customHeight="1" x14ac:dyDescent="0.25">
      <c r="A66" s="3" t="s">
        <v>177</v>
      </c>
      <c r="B66" s="67" t="s">
        <v>176</v>
      </c>
      <c r="C66" s="66" t="s">
        <v>175</v>
      </c>
      <c r="D66" s="9" t="s">
        <v>18</v>
      </c>
      <c r="E66" s="8">
        <f>'MEC 01 '!E54</f>
        <v>26.445</v>
      </c>
      <c r="F66" s="80">
        <v>78.2</v>
      </c>
      <c r="G66" s="81">
        <f t="shared" si="7"/>
        <v>101.23583869928058</v>
      </c>
      <c r="H66" s="81">
        <f t="shared" si="8"/>
        <v>2677.1817544024748</v>
      </c>
      <c r="J66" s="2"/>
    </row>
    <row r="67" spans="1:10" ht="45" customHeight="1" x14ac:dyDescent="0.25">
      <c r="A67" s="3" t="s">
        <v>179</v>
      </c>
      <c r="B67" s="59" t="s">
        <v>91</v>
      </c>
      <c r="C67" s="11" t="s">
        <v>122</v>
      </c>
      <c r="D67" s="9" t="s">
        <v>18</v>
      </c>
      <c r="E67" s="8">
        <f>'MEC 01 '!E55</f>
        <v>45.44</v>
      </c>
      <c r="F67" s="80">
        <v>8.0299999999999994</v>
      </c>
      <c r="G67" s="81">
        <f t="shared" si="7"/>
        <v>10.395444817841726</v>
      </c>
      <c r="H67" s="81">
        <f t="shared" si="8"/>
        <v>472.36901252272804</v>
      </c>
      <c r="J67" s="2"/>
    </row>
    <row r="68" spans="1:10" ht="72" customHeight="1" x14ac:dyDescent="0.25">
      <c r="A68" s="3" t="s">
        <v>180</v>
      </c>
      <c r="B68" s="59">
        <v>87529</v>
      </c>
      <c r="C68" s="83" t="s">
        <v>121</v>
      </c>
      <c r="D68" s="9" t="s">
        <v>18</v>
      </c>
      <c r="E68" s="8">
        <f>'MEC 01 '!E56</f>
        <v>45.44</v>
      </c>
      <c r="F68" s="80">
        <v>33.82</v>
      </c>
      <c r="G68" s="81">
        <f t="shared" si="7"/>
        <v>43.782558373525184</v>
      </c>
      <c r="H68" s="81">
        <f t="shared" si="8"/>
        <v>1989.4794524929844</v>
      </c>
      <c r="J68" s="2"/>
    </row>
    <row r="69" spans="1:10" ht="15.6" x14ac:dyDescent="0.25">
      <c r="A69" s="61">
        <v>11</v>
      </c>
      <c r="B69" s="62" t="s">
        <v>42</v>
      </c>
      <c r="C69" s="115" t="s">
        <v>43</v>
      </c>
      <c r="D69" s="116"/>
      <c r="E69" s="63"/>
      <c r="F69" s="247"/>
      <c r="G69" s="298"/>
      <c r="H69" s="211">
        <f>SUM(H70)</f>
        <v>1220.3061206279137</v>
      </c>
      <c r="J69" s="2"/>
    </row>
    <row r="70" spans="1:10" s="72" customFormat="1" ht="13.8" thickBot="1" x14ac:dyDescent="0.3">
      <c r="A70" s="3" t="s">
        <v>182</v>
      </c>
      <c r="B70" s="59" t="s">
        <v>92</v>
      </c>
      <c r="C70" s="11" t="s">
        <v>48</v>
      </c>
      <c r="D70" s="4" t="s">
        <v>18</v>
      </c>
      <c r="E70" s="8">
        <f>'MEC 01 '!E58</f>
        <v>314.20999999999998</v>
      </c>
      <c r="F70" s="80">
        <v>3</v>
      </c>
      <c r="G70" s="81">
        <f t="shared" si="7"/>
        <v>3.8837278273381299</v>
      </c>
      <c r="H70" s="81">
        <f t="shared" ref="H70" si="9">E70*G70</f>
        <v>1220.3061206279137</v>
      </c>
      <c r="J70" s="73"/>
    </row>
    <row r="71" spans="1:10" ht="18" customHeight="1" x14ac:dyDescent="0.25">
      <c r="A71" s="264" t="s">
        <v>20</v>
      </c>
      <c r="B71" s="265"/>
      <c r="C71" s="265"/>
      <c r="D71" s="265"/>
      <c r="E71" s="265"/>
      <c r="F71" s="265"/>
      <c r="G71" s="266"/>
      <c r="H71" s="104">
        <f>H69+H61+H54+H46+H42+H39+H37+H35+H27+H22+H19</f>
        <v>81760.498747386315</v>
      </c>
      <c r="J71" s="2"/>
    </row>
    <row r="72" spans="1:10" ht="18" customHeight="1" x14ac:dyDescent="0.25">
      <c r="A72" s="212"/>
      <c r="B72" s="213"/>
      <c r="C72" s="213"/>
      <c r="D72" s="213"/>
      <c r="E72" s="213"/>
      <c r="F72" s="213"/>
      <c r="G72" s="213"/>
      <c r="H72" s="214"/>
      <c r="J72" s="2"/>
    </row>
    <row r="73" spans="1:10" ht="18" customHeight="1" x14ac:dyDescent="0.25">
      <c r="A73" s="212"/>
      <c r="B73" s="213"/>
      <c r="C73" s="213"/>
      <c r="D73" s="213"/>
      <c r="E73" s="213"/>
      <c r="F73" s="213"/>
      <c r="G73" s="213"/>
      <c r="H73" s="214"/>
      <c r="J73" s="2"/>
    </row>
    <row r="74" spans="1:10" ht="18" customHeight="1" x14ac:dyDescent="0.25">
      <c r="A74" s="212"/>
      <c r="B74" s="213"/>
      <c r="C74" s="170" t="s">
        <v>261</v>
      </c>
      <c r="D74" s="170"/>
      <c r="E74" s="213"/>
      <c r="F74" s="169" t="s">
        <v>265</v>
      </c>
      <c r="G74" s="213"/>
      <c r="H74" s="214"/>
      <c r="J74" s="2"/>
    </row>
    <row r="75" spans="1:10" ht="18" customHeight="1" x14ac:dyDescent="0.25">
      <c r="A75" s="212"/>
      <c r="B75" s="213"/>
      <c r="C75" s="215" t="s">
        <v>262</v>
      </c>
      <c r="D75" s="215"/>
      <c r="E75" s="213"/>
      <c r="F75" s="213"/>
      <c r="G75" s="213"/>
      <c r="H75" s="214"/>
      <c r="J75" s="2"/>
    </row>
    <row r="76" spans="1:10" ht="18" customHeight="1" x14ac:dyDescent="0.25">
      <c r="A76" s="212"/>
      <c r="B76" s="213"/>
      <c r="C76" s="213"/>
      <c r="D76" s="213"/>
      <c r="E76" s="213"/>
      <c r="F76" s="213"/>
      <c r="G76" s="213"/>
      <c r="H76" s="214"/>
      <c r="J76" s="2"/>
    </row>
    <row r="77" spans="1:10" ht="12.75" customHeight="1" x14ac:dyDescent="0.25">
      <c r="A77" s="209"/>
      <c r="H77" s="210"/>
    </row>
    <row r="78" spans="1:10" ht="12.75" customHeight="1" x14ac:dyDescent="0.25">
      <c r="A78" s="209"/>
      <c r="C78" s="170" t="s">
        <v>263</v>
      </c>
      <c r="D78" s="170"/>
      <c r="H78" s="210"/>
    </row>
    <row r="79" spans="1:10" ht="12.75" customHeight="1" x14ac:dyDescent="0.25">
      <c r="A79" s="209"/>
      <c r="C79" s="215" t="s">
        <v>264</v>
      </c>
      <c r="D79" s="215"/>
      <c r="H79" s="210"/>
    </row>
    <row r="80" spans="1:10" ht="12.75" customHeight="1" x14ac:dyDescent="0.25">
      <c r="A80" s="209"/>
      <c r="H80" s="210"/>
    </row>
    <row r="81" spans="1:8" ht="12.75" customHeight="1" x14ac:dyDescent="0.25">
      <c r="A81" s="216"/>
      <c r="B81" s="217"/>
      <c r="C81" s="217"/>
      <c r="D81" s="217"/>
      <c r="E81" s="217"/>
      <c r="F81" s="218"/>
      <c r="G81" s="218"/>
      <c r="H81" s="219"/>
    </row>
    <row r="82" spans="1:8" ht="12.75" customHeight="1" x14ac:dyDescent="0.25"/>
    <row r="83" spans="1:8" ht="12.75" customHeight="1" x14ac:dyDescent="0.25"/>
    <row r="84" spans="1:8" ht="12.75" customHeight="1" x14ac:dyDescent="0.25"/>
    <row r="85" spans="1:8" ht="12.75" customHeight="1" x14ac:dyDescent="0.25"/>
    <row r="86" spans="1:8" ht="12.75" customHeight="1" x14ac:dyDescent="0.25"/>
    <row r="87" spans="1:8" ht="12.75" customHeight="1" x14ac:dyDescent="0.25"/>
    <row r="88" spans="1:8" ht="12.75" customHeight="1" x14ac:dyDescent="0.25"/>
    <row r="89" spans="1:8" ht="12.75" customHeight="1" x14ac:dyDescent="0.25"/>
    <row r="90" spans="1:8" ht="12.75" customHeight="1" x14ac:dyDescent="0.25"/>
    <row r="91" spans="1:8" ht="12.75" customHeight="1" x14ac:dyDescent="0.25"/>
    <row r="92" spans="1:8" ht="12.75" customHeight="1" x14ac:dyDescent="0.25"/>
    <row r="93" spans="1:8" ht="12.75" customHeight="1" x14ac:dyDescent="0.25"/>
    <row r="94" spans="1:8" ht="12.75" customHeight="1" x14ac:dyDescent="0.25"/>
    <row r="95" spans="1:8" ht="12.75" customHeight="1" x14ac:dyDescent="0.25"/>
    <row r="96" spans="1:8"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row r="1001" ht="12.75" customHeight="1" x14ac:dyDescent="0.25"/>
    <row r="1002" ht="12.75" customHeight="1" x14ac:dyDescent="0.25"/>
    <row r="1003" ht="12.75" customHeight="1" x14ac:dyDescent="0.25"/>
    <row r="1004" ht="12.75" customHeight="1" x14ac:dyDescent="0.25"/>
    <row r="1005" ht="12.75" customHeight="1" x14ac:dyDescent="0.25"/>
    <row r="1006" ht="12.75" customHeight="1" x14ac:dyDescent="0.25"/>
    <row r="1007" ht="12.75" customHeight="1" x14ac:dyDescent="0.25"/>
    <row r="1008" ht="12.75" customHeight="1" x14ac:dyDescent="0.25"/>
    <row r="1009" ht="12.75" customHeight="1" x14ac:dyDescent="0.25"/>
    <row r="1010" ht="12.75" customHeight="1" x14ac:dyDescent="0.25"/>
    <row r="1011" ht="12.75" customHeight="1" x14ac:dyDescent="0.25"/>
    <row r="1012" ht="12.75" customHeight="1" x14ac:dyDescent="0.25"/>
    <row r="1013" ht="12.75" customHeight="1" x14ac:dyDescent="0.25"/>
    <row r="1014" ht="12.75" customHeight="1" x14ac:dyDescent="0.25"/>
    <row r="1015" ht="12.75" customHeight="1" x14ac:dyDescent="0.25"/>
    <row r="1016" ht="12.75" customHeight="1" x14ac:dyDescent="0.25"/>
    <row r="1017" ht="12.75" customHeight="1" x14ac:dyDescent="0.25"/>
  </sheetData>
  <mergeCells count="18">
    <mergeCell ref="A2:H2"/>
    <mergeCell ref="A3:H3"/>
    <mergeCell ref="A4:H4"/>
    <mergeCell ref="A5:H5"/>
    <mergeCell ref="F69:G69"/>
    <mergeCell ref="A7:H7"/>
    <mergeCell ref="A9:H9"/>
    <mergeCell ref="F11:H11"/>
    <mergeCell ref="A8:H8"/>
    <mergeCell ref="A17:H17"/>
    <mergeCell ref="A13:E13"/>
    <mergeCell ref="A71:G71"/>
    <mergeCell ref="A14:D14"/>
    <mergeCell ref="E14:H14"/>
    <mergeCell ref="A15:D16"/>
    <mergeCell ref="A21:H21"/>
    <mergeCell ref="A45:H45"/>
    <mergeCell ref="A53:H53"/>
  </mergeCells>
  <phoneticPr fontId="11" type="noConversion"/>
  <printOptions horizontalCentered="1" verticalCentered="1"/>
  <pageMargins left="0.31496062992125984" right="0.31496062992125984" top="0.55118110236220474" bottom="0.55118110236220474" header="0.31496062992125984" footer="0.31496062992125984"/>
  <pageSetup paperSize="9" scale="7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CC393-5D0A-4432-A0A7-9B87DC9FE312}">
  <dimension ref="A1:H58"/>
  <sheetViews>
    <sheetView workbookViewId="0">
      <selection activeCell="E58" sqref="E58"/>
    </sheetView>
  </sheetViews>
  <sheetFormatPr defaultRowHeight="13.2" x14ac:dyDescent="0.25"/>
  <cols>
    <col min="1" max="1" width="30.44140625" customWidth="1"/>
    <col min="2" max="2" width="13.109375" customWidth="1"/>
    <col min="3" max="3" width="11.6640625" customWidth="1"/>
    <col min="4" max="4" width="13.33203125" customWidth="1"/>
    <col min="5" max="5" width="13.6640625" customWidth="1"/>
    <col min="6" max="6" width="9.109375" customWidth="1"/>
  </cols>
  <sheetData>
    <row r="1" spans="1:8" ht="13.8" x14ac:dyDescent="0.3">
      <c r="A1" s="120"/>
      <c r="B1" s="121"/>
      <c r="C1" s="121"/>
      <c r="D1" s="121"/>
      <c r="E1" s="121"/>
      <c r="F1" s="122"/>
      <c r="G1" s="121"/>
      <c r="H1" s="123"/>
    </row>
    <row r="2" spans="1:8" ht="25.8" x14ac:dyDescent="0.5">
      <c r="A2" s="323" t="s">
        <v>263</v>
      </c>
      <c r="B2" s="324"/>
      <c r="C2" s="324"/>
      <c r="D2" s="324"/>
      <c r="E2" s="324"/>
      <c r="F2" s="324"/>
      <c r="G2" s="324"/>
      <c r="H2" s="325"/>
    </row>
    <row r="3" spans="1:8" ht="15.6" x14ac:dyDescent="0.3">
      <c r="A3" s="326" t="s">
        <v>266</v>
      </c>
      <c r="B3" s="327"/>
      <c r="C3" s="327"/>
      <c r="D3" s="327"/>
      <c r="E3" s="327"/>
      <c r="F3" s="327"/>
      <c r="G3" s="327"/>
      <c r="H3" s="328"/>
    </row>
    <row r="4" spans="1:8" ht="13.8" x14ac:dyDescent="0.3">
      <c r="A4" s="329" t="s">
        <v>267</v>
      </c>
      <c r="B4" s="330"/>
      <c r="C4" s="330"/>
      <c r="D4" s="330"/>
      <c r="E4" s="330"/>
      <c r="F4" s="330"/>
      <c r="G4" s="330"/>
      <c r="H4" s="331"/>
    </row>
    <row r="5" spans="1:8" ht="13.8" x14ac:dyDescent="0.3">
      <c r="A5" s="329" t="s">
        <v>268</v>
      </c>
      <c r="B5" s="330"/>
      <c r="C5" s="330"/>
      <c r="D5" s="330"/>
      <c r="E5" s="330"/>
      <c r="F5" s="330"/>
      <c r="G5" s="330"/>
      <c r="H5" s="331"/>
    </row>
    <row r="6" spans="1:8" ht="14.4" thickBot="1" x14ac:dyDescent="0.35">
      <c r="A6" s="332" t="s">
        <v>269</v>
      </c>
      <c r="B6" s="333"/>
      <c r="C6" s="333"/>
      <c r="D6" s="333"/>
      <c r="E6" s="333"/>
      <c r="F6" s="333"/>
      <c r="G6" s="333"/>
      <c r="H6" s="334"/>
    </row>
    <row r="7" spans="1:8" ht="14.4" thickBot="1" x14ac:dyDescent="0.3">
      <c r="A7" s="124"/>
      <c r="B7" s="124"/>
      <c r="C7" s="124"/>
      <c r="D7" s="124"/>
      <c r="E7" s="124"/>
      <c r="F7" s="125"/>
      <c r="G7" s="124"/>
      <c r="H7" s="124"/>
    </row>
    <row r="8" spans="1:8" ht="13.8" x14ac:dyDescent="0.25">
      <c r="A8" s="317" t="str">
        <f>'[2]PLANILHA ORÇAMENTÁRIA'!$A$10:$F$10</f>
        <v>CONTRATANTE: MUNICÍPIO DE IBERTIOGA-MG</v>
      </c>
      <c r="B8" s="318"/>
      <c r="C8" s="318"/>
      <c r="D8" s="318"/>
      <c r="E8" s="319"/>
      <c r="F8" s="320" t="str">
        <f>'[2]PLANILHA ORÇAMENTÁRIA'!G10</f>
        <v>FONTE DE RECURSOS: RESOLUÇÃO/SES-MG</v>
      </c>
      <c r="G8" s="321"/>
      <c r="H8" s="322"/>
    </row>
    <row r="9" spans="1:8" ht="13.8" x14ac:dyDescent="0.25">
      <c r="A9" s="338" t="s">
        <v>232</v>
      </c>
      <c r="B9" s="339"/>
      <c r="C9" s="339"/>
      <c r="D9" s="339"/>
      <c r="E9" s="340"/>
      <c r="F9" s="341" t="s">
        <v>234</v>
      </c>
      <c r="G9" s="342"/>
      <c r="H9" s="343"/>
    </row>
    <row r="10" spans="1:8" ht="13.8" x14ac:dyDescent="0.25">
      <c r="A10" s="338" t="s">
        <v>233</v>
      </c>
      <c r="B10" s="339"/>
      <c r="C10" s="339"/>
      <c r="D10" s="340"/>
      <c r="E10" s="344" t="s">
        <v>195</v>
      </c>
      <c r="F10" s="345"/>
      <c r="G10" s="345"/>
      <c r="H10" s="346"/>
    </row>
    <row r="11" spans="1:8" ht="13.8" x14ac:dyDescent="0.25">
      <c r="A11" s="338" t="s">
        <v>270</v>
      </c>
      <c r="B11" s="339"/>
      <c r="C11" s="339"/>
      <c r="D11" s="340"/>
      <c r="E11" s="347" t="s">
        <v>1</v>
      </c>
      <c r="F11" s="349" t="s">
        <v>2</v>
      </c>
      <c r="G11" s="126" t="s">
        <v>196</v>
      </c>
      <c r="H11" s="127" t="s">
        <v>4</v>
      </c>
    </row>
    <row r="12" spans="1:8" ht="14.4" thickBot="1" x14ac:dyDescent="0.3">
      <c r="A12" s="351" t="str">
        <f>'[2]PLANILHA ORÇAMENTÁRIA'!$A$15:$E$15</f>
        <v>PRAZO DE EXECUÇÃO: 04 (QUATRO) MESES</v>
      </c>
      <c r="B12" s="352"/>
      <c r="C12" s="352"/>
      <c r="D12" s="353"/>
      <c r="E12" s="348"/>
      <c r="F12" s="350"/>
      <c r="G12" s="128" t="s">
        <v>197</v>
      </c>
      <c r="H12" s="129">
        <f>C44</f>
        <v>0.29457594244604324</v>
      </c>
    </row>
    <row r="13" spans="1:8" ht="13.8" x14ac:dyDescent="0.3">
      <c r="A13" s="120"/>
      <c r="B13" s="121"/>
      <c r="C13" s="121"/>
      <c r="D13" s="121"/>
      <c r="E13" s="121"/>
      <c r="F13" s="121"/>
      <c r="G13" s="121"/>
      <c r="H13" s="123"/>
    </row>
    <row r="14" spans="1:8" ht="21" x14ac:dyDescent="0.4">
      <c r="A14" s="354" t="s">
        <v>198</v>
      </c>
      <c r="B14" s="355"/>
      <c r="C14" s="355"/>
      <c r="D14" s="355"/>
      <c r="E14" s="355"/>
      <c r="F14" s="355"/>
      <c r="G14" s="355"/>
      <c r="H14" s="356"/>
    </row>
    <row r="15" spans="1:8" ht="13.8" x14ac:dyDescent="0.3">
      <c r="A15" s="130"/>
      <c r="B15" s="131"/>
      <c r="C15" s="131"/>
      <c r="D15" s="131"/>
      <c r="E15" s="131"/>
      <c r="F15" s="131"/>
      <c r="G15" s="131"/>
      <c r="H15" s="132"/>
    </row>
    <row r="16" spans="1:8" ht="13.8" x14ac:dyDescent="0.3">
      <c r="A16" s="130"/>
      <c r="B16" s="131"/>
      <c r="C16" s="131"/>
      <c r="D16" s="131"/>
      <c r="E16" s="131"/>
      <c r="F16" s="131"/>
      <c r="G16" s="131"/>
      <c r="H16" s="132"/>
    </row>
    <row r="17" spans="1:8" ht="21" x14ac:dyDescent="0.4">
      <c r="A17" s="354" t="s">
        <v>199</v>
      </c>
      <c r="B17" s="355"/>
      <c r="C17" s="355"/>
      <c r="D17" s="355"/>
      <c r="E17" s="355"/>
      <c r="F17" s="355"/>
      <c r="G17" s="355"/>
      <c r="H17" s="356"/>
    </row>
    <row r="18" spans="1:8" ht="21.6" thickBot="1" x14ac:dyDescent="0.45">
      <c r="A18" s="133"/>
      <c r="B18" s="134"/>
      <c r="C18" s="134"/>
      <c r="D18" s="134"/>
      <c r="E18" s="134"/>
      <c r="F18" s="134"/>
      <c r="G18" s="134"/>
      <c r="H18" s="135"/>
    </row>
    <row r="19" spans="1:8" ht="15.6" x14ac:dyDescent="0.3">
      <c r="A19" s="136"/>
      <c r="B19" s="137"/>
      <c r="C19" s="137"/>
      <c r="D19" s="137"/>
      <c r="E19" s="137"/>
      <c r="F19" s="137"/>
      <c r="G19" s="137"/>
      <c r="H19" s="138"/>
    </row>
    <row r="20" spans="1:8" ht="15.6" x14ac:dyDescent="0.3">
      <c r="A20" s="357" t="s">
        <v>200</v>
      </c>
      <c r="B20" s="358"/>
      <c r="C20" s="358"/>
      <c r="D20" s="358"/>
      <c r="E20" s="358"/>
      <c r="F20" s="358"/>
      <c r="G20" s="358"/>
      <c r="H20" s="359"/>
    </row>
    <row r="21" spans="1:8" ht="15.6" x14ac:dyDescent="0.3">
      <c r="A21" s="140"/>
      <c r="B21" s="141"/>
      <c r="C21" s="141"/>
      <c r="D21" s="141"/>
      <c r="E21" s="141"/>
      <c r="F21" s="141"/>
      <c r="G21" s="141"/>
      <c r="H21" s="142"/>
    </row>
    <row r="22" spans="1:8" ht="15.6" x14ac:dyDescent="0.3">
      <c r="A22" s="335"/>
      <c r="B22" s="360"/>
      <c r="C22" s="141"/>
      <c r="D22" s="141"/>
      <c r="E22" s="141"/>
      <c r="F22" s="141"/>
      <c r="G22" s="141"/>
      <c r="H22" s="142"/>
    </row>
    <row r="23" spans="1:8" ht="15.6" x14ac:dyDescent="0.3">
      <c r="A23" s="335"/>
      <c r="B23" s="360"/>
      <c r="C23" s="143" t="s">
        <v>201</v>
      </c>
      <c r="D23" s="143" t="s">
        <v>202</v>
      </c>
      <c r="E23" s="143" t="s">
        <v>203</v>
      </c>
      <c r="F23" s="141"/>
      <c r="G23" s="141"/>
      <c r="H23" s="142"/>
    </row>
    <row r="24" spans="1:8" ht="15.6" x14ac:dyDescent="0.3">
      <c r="A24" s="140"/>
      <c r="B24" s="141"/>
      <c r="C24" s="141"/>
      <c r="D24" s="141"/>
      <c r="E24" s="141"/>
      <c r="F24" s="141"/>
      <c r="G24" s="141"/>
      <c r="H24" s="142"/>
    </row>
    <row r="25" spans="1:8" ht="15.6" x14ac:dyDescent="0.3">
      <c r="A25" s="140" t="s">
        <v>204</v>
      </c>
      <c r="B25" s="143" t="s">
        <v>205</v>
      </c>
      <c r="C25" s="144">
        <v>1</v>
      </c>
      <c r="D25" s="144">
        <v>1</v>
      </c>
      <c r="E25" s="141"/>
      <c r="F25" s="141"/>
      <c r="G25" s="141"/>
      <c r="H25" s="142"/>
    </row>
    <row r="26" spans="1:8" ht="15.6" x14ac:dyDescent="0.3">
      <c r="A26" s="140" t="s">
        <v>206</v>
      </c>
      <c r="B26" s="143" t="s">
        <v>207</v>
      </c>
      <c r="C26" s="144">
        <v>5.5E-2</v>
      </c>
      <c r="D26" s="144">
        <v>3.4200000000000001E-2</v>
      </c>
      <c r="E26" s="143" t="s">
        <v>205</v>
      </c>
      <c r="F26" s="141"/>
      <c r="G26" s="141"/>
      <c r="H26" s="142"/>
    </row>
    <row r="27" spans="1:8" ht="15.6" x14ac:dyDescent="0.3">
      <c r="A27" s="140" t="s">
        <v>208</v>
      </c>
      <c r="B27" s="143" t="s">
        <v>209</v>
      </c>
      <c r="C27" s="144">
        <v>7.4999999999999997E-2</v>
      </c>
      <c r="D27" s="144">
        <v>4.9399999999999999E-2</v>
      </c>
      <c r="E27" s="143" t="s">
        <v>205</v>
      </c>
      <c r="F27" s="141"/>
      <c r="G27" s="141"/>
      <c r="H27" s="142"/>
    </row>
    <row r="28" spans="1:8" ht="15.6" x14ac:dyDescent="0.3">
      <c r="A28" s="140" t="s">
        <v>210</v>
      </c>
      <c r="B28" s="143" t="s">
        <v>211</v>
      </c>
      <c r="C28" s="144">
        <v>9.5999999999999992E-3</v>
      </c>
      <c r="D28" s="144">
        <v>9.5999999999999992E-3</v>
      </c>
      <c r="E28" s="143" t="s">
        <v>205</v>
      </c>
      <c r="F28" s="141"/>
      <c r="G28" s="141"/>
      <c r="H28" s="142"/>
    </row>
    <row r="29" spans="1:8" ht="15.6" x14ac:dyDescent="0.3">
      <c r="A29" s="145" t="s">
        <v>212</v>
      </c>
      <c r="B29" s="139"/>
      <c r="C29" s="146">
        <v>2.2700000000000001E-2</v>
      </c>
      <c r="D29" s="146">
        <v>1.29E-2</v>
      </c>
      <c r="E29" s="139" t="s">
        <v>205</v>
      </c>
      <c r="F29" s="147"/>
      <c r="G29" s="147"/>
      <c r="H29" s="148"/>
    </row>
    <row r="30" spans="1:8" ht="15.6" x14ac:dyDescent="0.3">
      <c r="A30" s="140" t="s">
        <v>213</v>
      </c>
      <c r="B30" s="143" t="s">
        <v>214</v>
      </c>
      <c r="C30" s="144">
        <v>0.01</v>
      </c>
      <c r="D30" s="144">
        <v>5.3E-3</v>
      </c>
      <c r="E30" s="143" t="s">
        <v>205</v>
      </c>
      <c r="F30" s="141"/>
      <c r="G30" s="141"/>
      <c r="H30" s="142"/>
    </row>
    <row r="31" spans="1:8" ht="15.6" x14ac:dyDescent="0.3">
      <c r="A31" s="140" t="s">
        <v>215</v>
      </c>
      <c r="B31" s="143" t="s">
        <v>216</v>
      </c>
      <c r="C31" s="144">
        <v>1.2699999999999999E-2</v>
      </c>
      <c r="D31" s="144">
        <v>7.6E-3</v>
      </c>
      <c r="E31" s="143" t="s">
        <v>205</v>
      </c>
      <c r="F31" s="141"/>
      <c r="G31" s="141"/>
      <c r="H31" s="142"/>
    </row>
    <row r="32" spans="1:8" ht="15.6" x14ac:dyDescent="0.3">
      <c r="A32" s="145" t="s">
        <v>217</v>
      </c>
      <c r="B32" s="139" t="s">
        <v>218</v>
      </c>
      <c r="C32" s="146">
        <v>5.1499999999999997E-2</v>
      </c>
      <c r="D32" s="146">
        <v>3.6499999999999998E-2</v>
      </c>
      <c r="E32" s="139" t="s">
        <v>219</v>
      </c>
      <c r="F32" s="147"/>
      <c r="G32" s="147"/>
      <c r="H32" s="148"/>
    </row>
    <row r="33" spans="1:8" ht="15.6" x14ac:dyDescent="0.3">
      <c r="A33" s="140" t="s">
        <v>220</v>
      </c>
      <c r="B33" s="143" t="s">
        <v>220</v>
      </c>
      <c r="C33" s="149">
        <v>1.4999999999999999E-2</v>
      </c>
      <c r="D33" s="149" t="s">
        <v>221</v>
      </c>
      <c r="E33" s="150" t="s">
        <v>219</v>
      </c>
      <c r="F33" s="141"/>
      <c r="G33" s="141"/>
      <c r="H33" s="142"/>
    </row>
    <row r="34" spans="1:8" ht="15.6" x14ac:dyDescent="0.3">
      <c r="A34" s="140" t="s">
        <v>222</v>
      </c>
      <c r="B34" s="143" t="s">
        <v>222</v>
      </c>
      <c r="C34" s="144">
        <v>6.4999999999999997E-3</v>
      </c>
      <c r="D34" s="144">
        <v>6.4999999999999997E-3</v>
      </c>
      <c r="E34" s="143" t="s">
        <v>219</v>
      </c>
      <c r="F34" s="141"/>
      <c r="G34" s="141"/>
      <c r="H34" s="142"/>
    </row>
    <row r="35" spans="1:8" ht="15.6" x14ac:dyDescent="0.3">
      <c r="A35" s="140" t="s">
        <v>223</v>
      </c>
      <c r="B35" s="143" t="s">
        <v>223</v>
      </c>
      <c r="C35" s="144">
        <v>0.03</v>
      </c>
      <c r="D35" s="144">
        <v>0.03</v>
      </c>
      <c r="E35" s="143" t="s">
        <v>219</v>
      </c>
      <c r="F35" s="141"/>
      <c r="G35" s="141"/>
      <c r="H35" s="142"/>
    </row>
    <row r="36" spans="1:8" ht="15.6" x14ac:dyDescent="0.3">
      <c r="A36" s="140" t="s">
        <v>224</v>
      </c>
      <c r="B36" s="143" t="s">
        <v>225</v>
      </c>
      <c r="C36" s="144">
        <v>4.4999999999999998E-2</v>
      </c>
      <c r="D36" s="144">
        <v>4.4999999999999998E-2</v>
      </c>
      <c r="E36" s="143" t="s">
        <v>219</v>
      </c>
      <c r="F36" s="141"/>
      <c r="G36" s="141"/>
      <c r="H36" s="142"/>
    </row>
    <row r="37" spans="1:8" ht="15.6" x14ac:dyDescent="0.3">
      <c r="A37" s="335"/>
      <c r="B37" s="336"/>
      <c r="C37" s="336"/>
      <c r="D37" s="336"/>
      <c r="E37" s="336"/>
      <c r="F37" s="336"/>
      <c r="G37" s="336"/>
      <c r="H37" s="337"/>
    </row>
    <row r="38" spans="1:8" ht="15.6" x14ac:dyDescent="0.3">
      <c r="A38" s="335" t="s">
        <v>226</v>
      </c>
      <c r="B38" s="366" t="s">
        <v>227</v>
      </c>
      <c r="C38" s="336" t="s">
        <v>228</v>
      </c>
      <c r="D38" s="336"/>
      <c r="E38" s="336"/>
      <c r="F38" s="336"/>
      <c r="G38" s="336"/>
      <c r="H38" s="337"/>
    </row>
    <row r="39" spans="1:8" ht="15.6" x14ac:dyDescent="0.3">
      <c r="A39" s="335"/>
      <c r="B39" s="366"/>
      <c r="C39" s="336" t="s">
        <v>229</v>
      </c>
      <c r="D39" s="336"/>
      <c r="E39" s="336"/>
      <c r="F39" s="336"/>
      <c r="G39" s="336"/>
      <c r="H39" s="337"/>
    </row>
    <row r="40" spans="1:8" ht="15.6" x14ac:dyDescent="0.3">
      <c r="A40" s="140"/>
      <c r="B40" s="141"/>
      <c r="C40" s="141"/>
      <c r="D40" s="141"/>
      <c r="E40" s="141"/>
      <c r="F40" s="141"/>
      <c r="G40" s="141"/>
      <c r="H40" s="142"/>
    </row>
    <row r="41" spans="1:8" ht="15.6" x14ac:dyDescent="0.3">
      <c r="A41" s="140"/>
      <c r="B41" s="141" t="s">
        <v>230</v>
      </c>
      <c r="C41" s="151">
        <f>(1+(C26+C29))*(1+C28)*(1+C27)-1</f>
        <v>0.16964936400000008</v>
      </c>
      <c r="D41" s="151">
        <f>(1+(D26+D29))*(1+D28)*(1+D27)-1</f>
        <v>0.10937547670399983</v>
      </c>
      <c r="E41" s="141"/>
      <c r="F41" s="141"/>
      <c r="G41" s="141"/>
      <c r="H41" s="142"/>
    </row>
    <row r="42" spans="1:8" ht="15.6" x14ac:dyDescent="0.3">
      <c r="A42" s="140"/>
      <c r="B42" s="141"/>
      <c r="C42" s="151"/>
      <c r="D42" s="151"/>
      <c r="E42" s="141"/>
      <c r="F42" s="141"/>
      <c r="G42" s="141"/>
      <c r="H42" s="142"/>
    </row>
    <row r="43" spans="1:8" ht="15.6" x14ac:dyDescent="0.3">
      <c r="A43" s="140"/>
      <c r="B43" s="141" t="s">
        <v>231</v>
      </c>
      <c r="C43" s="151">
        <f>(1-(C32+C36))</f>
        <v>0.90349999999999997</v>
      </c>
      <c r="D43" s="151">
        <f>(1-(D32+D36))</f>
        <v>0.91849999999999998</v>
      </c>
      <c r="E43" s="141"/>
      <c r="F43" s="141"/>
      <c r="G43" s="141"/>
      <c r="H43" s="142"/>
    </row>
    <row r="44" spans="1:8" ht="15.6" x14ac:dyDescent="0.3">
      <c r="A44" s="140"/>
      <c r="B44" s="367" t="s">
        <v>227</v>
      </c>
      <c r="C44" s="368">
        <f>(1+C41)/C43-1</f>
        <v>0.29457594244604324</v>
      </c>
      <c r="D44" s="368">
        <f>(1+D41)/D43-1</f>
        <v>0.20781216843113759</v>
      </c>
      <c r="E44" s="336"/>
      <c r="F44" s="336"/>
      <c r="G44" s="336"/>
      <c r="H44" s="361"/>
    </row>
    <row r="45" spans="1:8" ht="15.6" x14ac:dyDescent="0.3">
      <c r="A45" s="140"/>
      <c r="B45" s="367"/>
      <c r="C45" s="368"/>
      <c r="D45" s="368"/>
      <c r="E45" s="336"/>
      <c r="F45" s="336"/>
      <c r="G45" s="336"/>
      <c r="H45" s="362"/>
    </row>
    <row r="46" spans="1:8" ht="15.6" x14ac:dyDescent="0.3">
      <c r="A46" s="140"/>
      <c r="B46" s="141"/>
      <c r="C46" s="141"/>
      <c r="D46" s="141"/>
      <c r="E46" s="141"/>
      <c r="F46" s="141"/>
      <c r="G46" s="141"/>
      <c r="H46" s="142"/>
    </row>
    <row r="47" spans="1:8" ht="16.2" thickBot="1" x14ac:dyDescent="0.35">
      <c r="A47" s="363"/>
      <c r="B47" s="364"/>
      <c r="C47" s="364"/>
      <c r="D47" s="364"/>
      <c r="E47" s="364"/>
      <c r="F47" s="364"/>
      <c r="G47" s="364"/>
      <c r="H47" s="365"/>
    </row>
    <row r="48" spans="1:8" ht="15.6" x14ac:dyDescent="0.3">
      <c r="A48" s="153"/>
      <c r="B48" s="154"/>
      <c r="C48" s="154"/>
      <c r="D48" s="154"/>
      <c r="E48" s="154"/>
      <c r="F48" s="154"/>
      <c r="G48" s="154"/>
      <c r="H48" s="155"/>
    </row>
    <row r="49" spans="1:8" ht="15.6" x14ac:dyDescent="0.3">
      <c r="A49" s="153"/>
      <c r="B49" s="154"/>
      <c r="C49" s="154"/>
      <c r="D49" s="154"/>
      <c r="E49" s="154"/>
      <c r="F49" s="154"/>
      <c r="G49" s="154"/>
      <c r="H49" s="155"/>
    </row>
    <row r="50" spans="1:8" ht="15.6" x14ac:dyDescent="0.3">
      <c r="A50" s="153" t="s">
        <v>261</v>
      </c>
      <c r="B50" s="154"/>
      <c r="C50" s="154"/>
      <c r="D50" s="156" t="s">
        <v>272</v>
      </c>
      <c r="E50" s="154"/>
      <c r="F50" s="154"/>
      <c r="G50" s="154"/>
      <c r="H50" s="155"/>
    </row>
    <row r="51" spans="1:8" ht="15.6" x14ac:dyDescent="0.3">
      <c r="A51" s="153" t="s">
        <v>271</v>
      </c>
      <c r="B51" s="131"/>
      <c r="C51" s="131"/>
      <c r="D51" s="131"/>
      <c r="E51" s="131"/>
      <c r="F51" s="131"/>
      <c r="G51" s="131"/>
      <c r="H51" s="132"/>
    </row>
    <row r="52" spans="1:8" ht="15.6" x14ac:dyDescent="0.3">
      <c r="A52" s="153"/>
      <c r="B52" s="131"/>
      <c r="C52" s="131"/>
      <c r="D52" s="131"/>
      <c r="E52" s="131"/>
      <c r="F52" s="131"/>
      <c r="G52" s="131"/>
      <c r="H52" s="132"/>
    </row>
    <row r="53" spans="1:8" ht="15.6" x14ac:dyDescent="0.3">
      <c r="A53" s="153"/>
      <c r="B53" s="131"/>
      <c r="C53" s="131"/>
      <c r="D53" s="131"/>
      <c r="E53" s="131"/>
      <c r="F53" s="131"/>
      <c r="G53" s="131"/>
      <c r="H53" s="132"/>
    </row>
    <row r="54" spans="1:8" ht="15.6" x14ac:dyDescent="0.3">
      <c r="A54" s="153"/>
      <c r="B54" s="131"/>
      <c r="C54" s="131"/>
      <c r="D54" s="131"/>
      <c r="E54" s="131"/>
      <c r="F54" s="131"/>
      <c r="G54" s="131"/>
      <c r="H54" s="132"/>
    </row>
    <row r="55" spans="1:8" ht="15.6" x14ac:dyDescent="0.3">
      <c r="A55" s="153" t="s">
        <v>263</v>
      </c>
      <c r="B55" s="131"/>
      <c r="C55" s="131"/>
      <c r="D55" s="131"/>
      <c r="E55" s="131"/>
      <c r="F55" s="131"/>
      <c r="G55" s="131"/>
      <c r="H55" s="132"/>
    </row>
    <row r="56" spans="1:8" ht="15.6" x14ac:dyDescent="0.3">
      <c r="A56" s="153" t="s">
        <v>264</v>
      </c>
      <c r="B56" s="131"/>
      <c r="C56" s="131"/>
      <c r="D56" s="131"/>
      <c r="E56" s="131"/>
      <c r="F56" s="131"/>
      <c r="G56" s="131"/>
      <c r="H56" s="132"/>
    </row>
    <row r="57" spans="1:8" ht="15.6" x14ac:dyDescent="0.3">
      <c r="A57" s="153"/>
      <c r="B57" s="131"/>
      <c r="C57" s="131"/>
      <c r="D57" s="131"/>
      <c r="E57" s="131"/>
      <c r="F57" s="131"/>
      <c r="G57" s="131"/>
      <c r="H57" s="132"/>
    </row>
    <row r="58" spans="1:8" ht="16.2" thickBot="1" x14ac:dyDescent="0.35">
      <c r="A58" s="152"/>
      <c r="B58" s="157"/>
      <c r="C58" s="157"/>
      <c r="D58" s="157"/>
      <c r="E58" s="157"/>
      <c r="F58" s="157"/>
      <c r="G58" s="157"/>
      <c r="H58" s="158"/>
    </row>
  </sheetData>
  <mergeCells count="33">
    <mergeCell ref="H44:H45"/>
    <mergeCell ref="A47:H47"/>
    <mergeCell ref="A38:A39"/>
    <mergeCell ref="B38:B39"/>
    <mergeCell ref="C38:H38"/>
    <mergeCell ref="C39:H39"/>
    <mergeCell ref="B44:B45"/>
    <mergeCell ref="C44:C45"/>
    <mergeCell ref="D44:D45"/>
    <mergeCell ref="E44:E45"/>
    <mergeCell ref="F44:F45"/>
    <mergeCell ref="G44:G45"/>
    <mergeCell ref="A37:H37"/>
    <mergeCell ref="A9:E9"/>
    <mergeCell ref="F9:H9"/>
    <mergeCell ref="A10:D10"/>
    <mergeCell ref="E10:H10"/>
    <mergeCell ref="A11:D11"/>
    <mergeCell ref="E11:E12"/>
    <mergeCell ref="F11:F12"/>
    <mergeCell ref="A12:D12"/>
    <mergeCell ref="A14:H14"/>
    <mergeCell ref="A17:H17"/>
    <mergeCell ref="A20:H20"/>
    <mergeCell ref="A22:A23"/>
    <mergeCell ref="B22:B23"/>
    <mergeCell ref="A8:E8"/>
    <mergeCell ref="F8:H8"/>
    <mergeCell ref="A2:H2"/>
    <mergeCell ref="A3:H3"/>
    <mergeCell ref="A4:H4"/>
    <mergeCell ref="A5:H5"/>
    <mergeCell ref="A6:H6"/>
  </mergeCells>
  <pageMargins left="0.70866141732283472" right="0.31496062992125984" top="0.78740157480314965" bottom="0.78740157480314965" header="0.31496062992125984" footer="0.31496062992125984"/>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46"/>
  <sheetViews>
    <sheetView view="pageBreakPreview" zoomScaleNormal="100" zoomScaleSheetLayoutView="100" workbookViewId="0">
      <selection activeCell="C37" sqref="C37"/>
    </sheetView>
  </sheetViews>
  <sheetFormatPr defaultRowHeight="13.2" x14ac:dyDescent="0.25"/>
  <cols>
    <col min="1" max="1" width="12.109375" style="12" customWidth="1"/>
    <col min="2" max="2" width="49.33203125" style="12" customWidth="1"/>
    <col min="3" max="3" width="19.5546875" style="12" customWidth="1"/>
    <col min="4" max="4" width="18.88671875" style="12" customWidth="1"/>
    <col min="5" max="5" width="10.44140625" style="12" customWidth="1"/>
    <col min="6" max="12" width="12.6640625" style="12" customWidth="1"/>
    <col min="13" max="13" width="14.33203125" style="12" customWidth="1"/>
    <col min="14" max="256" width="8.88671875" style="12"/>
    <col min="257" max="257" width="12.109375" style="12" customWidth="1"/>
    <col min="258" max="258" width="60.33203125" style="12" customWidth="1"/>
    <col min="259" max="259" width="22.88671875" style="12" customWidth="1"/>
    <col min="260" max="260" width="21.6640625" style="12" customWidth="1"/>
    <col min="261" max="262" width="25.109375" style="12" customWidth="1"/>
    <col min="263" max="512" width="8.88671875" style="12"/>
    <col min="513" max="513" width="12.109375" style="12" customWidth="1"/>
    <col min="514" max="514" width="60.33203125" style="12" customWidth="1"/>
    <col min="515" max="515" width="22.88671875" style="12" customWidth="1"/>
    <col min="516" max="516" width="21.6640625" style="12" customWidth="1"/>
    <col min="517" max="518" width="25.109375" style="12" customWidth="1"/>
    <col min="519" max="768" width="8.88671875" style="12"/>
    <col min="769" max="769" width="12.109375" style="12" customWidth="1"/>
    <col min="770" max="770" width="60.33203125" style="12" customWidth="1"/>
    <col min="771" max="771" width="22.88671875" style="12" customWidth="1"/>
    <col min="772" max="772" width="21.6640625" style="12" customWidth="1"/>
    <col min="773" max="774" width="25.109375" style="12" customWidth="1"/>
    <col min="775" max="1024" width="8.88671875" style="12"/>
    <col min="1025" max="1025" width="12.109375" style="12" customWidth="1"/>
    <col min="1026" max="1026" width="60.33203125" style="12" customWidth="1"/>
    <col min="1027" max="1027" width="22.88671875" style="12" customWidth="1"/>
    <col min="1028" max="1028" width="21.6640625" style="12" customWidth="1"/>
    <col min="1029" max="1030" width="25.109375" style="12" customWidth="1"/>
    <col min="1031" max="1280" width="8.88671875" style="12"/>
    <col min="1281" max="1281" width="12.109375" style="12" customWidth="1"/>
    <col min="1282" max="1282" width="60.33203125" style="12" customWidth="1"/>
    <col min="1283" max="1283" width="22.88671875" style="12" customWidth="1"/>
    <col min="1284" max="1284" width="21.6640625" style="12" customWidth="1"/>
    <col min="1285" max="1286" width="25.109375" style="12" customWidth="1"/>
    <col min="1287" max="1536" width="8.88671875" style="12"/>
    <col min="1537" max="1537" width="12.109375" style="12" customWidth="1"/>
    <col min="1538" max="1538" width="60.33203125" style="12" customWidth="1"/>
    <col min="1539" max="1539" width="22.88671875" style="12" customWidth="1"/>
    <col min="1540" max="1540" width="21.6640625" style="12" customWidth="1"/>
    <col min="1541" max="1542" width="25.109375" style="12" customWidth="1"/>
    <col min="1543" max="1792" width="8.88671875" style="12"/>
    <col min="1793" max="1793" width="12.109375" style="12" customWidth="1"/>
    <col min="1794" max="1794" width="60.33203125" style="12" customWidth="1"/>
    <col min="1795" max="1795" width="22.88671875" style="12" customWidth="1"/>
    <col min="1796" max="1796" width="21.6640625" style="12" customWidth="1"/>
    <col min="1797" max="1798" width="25.109375" style="12" customWidth="1"/>
    <col min="1799" max="2048" width="8.88671875" style="12"/>
    <col min="2049" max="2049" width="12.109375" style="12" customWidth="1"/>
    <col min="2050" max="2050" width="60.33203125" style="12" customWidth="1"/>
    <col min="2051" max="2051" width="22.88671875" style="12" customWidth="1"/>
    <col min="2052" max="2052" width="21.6640625" style="12" customWidth="1"/>
    <col min="2053" max="2054" width="25.109375" style="12" customWidth="1"/>
    <col min="2055" max="2304" width="8.88671875" style="12"/>
    <col min="2305" max="2305" width="12.109375" style="12" customWidth="1"/>
    <col min="2306" max="2306" width="60.33203125" style="12" customWidth="1"/>
    <col min="2307" max="2307" width="22.88671875" style="12" customWidth="1"/>
    <col min="2308" max="2308" width="21.6640625" style="12" customWidth="1"/>
    <col min="2309" max="2310" width="25.109375" style="12" customWidth="1"/>
    <col min="2311" max="2560" width="8.88671875" style="12"/>
    <col min="2561" max="2561" width="12.109375" style="12" customWidth="1"/>
    <col min="2562" max="2562" width="60.33203125" style="12" customWidth="1"/>
    <col min="2563" max="2563" width="22.88671875" style="12" customWidth="1"/>
    <col min="2564" max="2564" width="21.6640625" style="12" customWidth="1"/>
    <col min="2565" max="2566" width="25.109375" style="12" customWidth="1"/>
    <col min="2567" max="2816" width="8.88671875" style="12"/>
    <col min="2817" max="2817" width="12.109375" style="12" customWidth="1"/>
    <col min="2818" max="2818" width="60.33203125" style="12" customWidth="1"/>
    <col min="2819" max="2819" width="22.88671875" style="12" customWidth="1"/>
    <col min="2820" max="2820" width="21.6640625" style="12" customWidth="1"/>
    <col min="2821" max="2822" width="25.109375" style="12" customWidth="1"/>
    <col min="2823" max="3072" width="8.88671875" style="12"/>
    <col min="3073" max="3073" width="12.109375" style="12" customWidth="1"/>
    <col min="3074" max="3074" width="60.33203125" style="12" customWidth="1"/>
    <col min="3075" max="3075" width="22.88671875" style="12" customWidth="1"/>
    <col min="3076" max="3076" width="21.6640625" style="12" customWidth="1"/>
    <col min="3077" max="3078" width="25.109375" style="12" customWidth="1"/>
    <col min="3079" max="3328" width="8.88671875" style="12"/>
    <col min="3329" max="3329" width="12.109375" style="12" customWidth="1"/>
    <col min="3330" max="3330" width="60.33203125" style="12" customWidth="1"/>
    <col min="3331" max="3331" width="22.88671875" style="12" customWidth="1"/>
    <col min="3332" max="3332" width="21.6640625" style="12" customWidth="1"/>
    <col min="3333" max="3334" width="25.109375" style="12" customWidth="1"/>
    <col min="3335" max="3584" width="8.88671875" style="12"/>
    <col min="3585" max="3585" width="12.109375" style="12" customWidth="1"/>
    <col min="3586" max="3586" width="60.33203125" style="12" customWidth="1"/>
    <col min="3587" max="3587" width="22.88671875" style="12" customWidth="1"/>
    <col min="3588" max="3588" width="21.6640625" style="12" customWidth="1"/>
    <col min="3589" max="3590" width="25.109375" style="12" customWidth="1"/>
    <col min="3591" max="3840" width="8.88671875" style="12"/>
    <col min="3841" max="3841" width="12.109375" style="12" customWidth="1"/>
    <col min="3842" max="3842" width="60.33203125" style="12" customWidth="1"/>
    <col min="3843" max="3843" width="22.88671875" style="12" customWidth="1"/>
    <col min="3844" max="3844" width="21.6640625" style="12" customWidth="1"/>
    <col min="3845" max="3846" width="25.109375" style="12" customWidth="1"/>
    <col min="3847" max="4096" width="8.88671875" style="12"/>
    <col min="4097" max="4097" width="12.109375" style="12" customWidth="1"/>
    <col min="4098" max="4098" width="60.33203125" style="12" customWidth="1"/>
    <col min="4099" max="4099" width="22.88671875" style="12" customWidth="1"/>
    <col min="4100" max="4100" width="21.6640625" style="12" customWidth="1"/>
    <col min="4101" max="4102" width="25.109375" style="12" customWidth="1"/>
    <col min="4103" max="4352" width="8.88671875" style="12"/>
    <col min="4353" max="4353" width="12.109375" style="12" customWidth="1"/>
    <col min="4354" max="4354" width="60.33203125" style="12" customWidth="1"/>
    <col min="4355" max="4355" width="22.88671875" style="12" customWidth="1"/>
    <col min="4356" max="4356" width="21.6640625" style="12" customWidth="1"/>
    <col min="4357" max="4358" width="25.109375" style="12" customWidth="1"/>
    <col min="4359" max="4608" width="8.88671875" style="12"/>
    <col min="4609" max="4609" width="12.109375" style="12" customWidth="1"/>
    <col min="4610" max="4610" width="60.33203125" style="12" customWidth="1"/>
    <col min="4611" max="4611" width="22.88671875" style="12" customWidth="1"/>
    <col min="4612" max="4612" width="21.6640625" style="12" customWidth="1"/>
    <col min="4613" max="4614" width="25.109375" style="12" customWidth="1"/>
    <col min="4615" max="4864" width="8.88671875" style="12"/>
    <col min="4865" max="4865" width="12.109375" style="12" customWidth="1"/>
    <col min="4866" max="4866" width="60.33203125" style="12" customWidth="1"/>
    <col min="4867" max="4867" width="22.88671875" style="12" customWidth="1"/>
    <col min="4868" max="4868" width="21.6640625" style="12" customWidth="1"/>
    <col min="4869" max="4870" width="25.109375" style="12" customWidth="1"/>
    <col min="4871" max="5120" width="8.88671875" style="12"/>
    <col min="5121" max="5121" width="12.109375" style="12" customWidth="1"/>
    <col min="5122" max="5122" width="60.33203125" style="12" customWidth="1"/>
    <col min="5123" max="5123" width="22.88671875" style="12" customWidth="1"/>
    <col min="5124" max="5124" width="21.6640625" style="12" customWidth="1"/>
    <col min="5125" max="5126" width="25.109375" style="12" customWidth="1"/>
    <col min="5127" max="5376" width="8.88671875" style="12"/>
    <col min="5377" max="5377" width="12.109375" style="12" customWidth="1"/>
    <col min="5378" max="5378" width="60.33203125" style="12" customWidth="1"/>
    <col min="5379" max="5379" width="22.88671875" style="12" customWidth="1"/>
    <col min="5380" max="5380" width="21.6640625" style="12" customWidth="1"/>
    <col min="5381" max="5382" width="25.109375" style="12" customWidth="1"/>
    <col min="5383" max="5632" width="8.88671875" style="12"/>
    <col min="5633" max="5633" width="12.109375" style="12" customWidth="1"/>
    <col min="5634" max="5634" width="60.33203125" style="12" customWidth="1"/>
    <col min="5635" max="5635" width="22.88671875" style="12" customWidth="1"/>
    <col min="5636" max="5636" width="21.6640625" style="12" customWidth="1"/>
    <col min="5637" max="5638" width="25.109375" style="12" customWidth="1"/>
    <col min="5639" max="5888" width="8.88671875" style="12"/>
    <col min="5889" max="5889" width="12.109375" style="12" customWidth="1"/>
    <col min="5890" max="5890" width="60.33203125" style="12" customWidth="1"/>
    <col min="5891" max="5891" width="22.88671875" style="12" customWidth="1"/>
    <col min="5892" max="5892" width="21.6640625" style="12" customWidth="1"/>
    <col min="5893" max="5894" width="25.109375" style="12" customWidth="1"/>
    <col min="5895" max="6144" width="8.88671875" style="12"/>
    <col min="6145" max="6145" width="12.109375" style="12" customWidth="1"/>
    <col min="6146" max="6146" width="60.33203125" style="12" customWidth="1"/>
    <col min="6147" max="6147" width="22.88671875" style="12" customWidth="1"/>
    <col min="6148" max="6148" width="21.6640625" style="12" customWidth="1"/>
    <col min="6149" max="6150" width="25.109375" style="12" customWidth="1"/>
    <col min="6151" max="6400" width="8.88671875" style="12"/>
    <col min="6401" max="6401" width="12.109375" style="12" customWidth="1"/>
    <col min="6402" max="6402" width="60.33203125" style="12" customWidth="1"/>
    <col min="6403" max="6403" width="22.88671875" style="12" customWidth="1"/>
    <col min="6404" max="6404" width="21.6640625" style="12" customWidth="1"/>
    <col min="6405" max="6406" width="25.109375" style="12" customWidth="1"/>
    <col min="6407" max="6656" width="8.88671875" style="12"/>
    <col min="6657" max="6657" width="12.109375" style="12" customWidth="1"/>
    <col min="6658" max="6658" width="60.33203125" style="12" customWidth="1"/>
    <col min="6659" max="6659" width="22.88671875" style="12" customWidth="1"/>
    <col min="6660" max="6660" width="21.6640625" style="12" customWidth="1"/>
    <col min="6661" max="6662" width="25.109375" style="12" customWidth="1"/>
    <col min="6663" max="6912" width="8.88671875" style="12"/>
    <col min="6913" max="6913" width="12.109375" style="12" customWidth="1"/>
    <col min="6914" max="6914" width="60.33203125" style="12" customWidth="1"/>
    <col min="6915" max="6915" width="22.88671875" style="12" customWidth="1"/>
    <col min="6916" max="6916" width="21.6640625" style="12" customWidth="1"/>
    <col min="6917" max="6918" width="25.109375" style="12" customWidth="1"/>
    <col min="6919" max="7168" width="8.88671875" style="12"/>
    <col min="7169" max="7169" width="12.109375" style="12" customWidth="1"/>
    <col min="7170" max="7170" width="60.33203125" style="12" customWidth="1"/>
    <col min="7171" max="7171" width="22.88671875" style="12" customWidth="1"/>
    <col min="7172" max="7172" width="21.6640625" style="12" customWidth="1"/>
    <col min="7173" max="7174" width="25.109375" style="12" customWidth="1"/>
    <col min="7175" max="7424" width="8.88671875" style="12"/>
    <col min="7425" max="7425" width="12.109375" style="12" customWidth="1"/>
    <col min="7426" max="7426" width="60.33203125" style="12" customWidth="1"/>
    <col min="7427" max="7427" width="22.88671875" style="12" customWidth="1"/>
    <col min="7428" max="7428" width="21.6640625" style="12" customWidth="1"/>
    <col min="7429" max="7430" width="25.109375" style="12" customWidth="1"/>
    <col min="7431" max="7680" width="8.88671875" style="12"/>
    <col min="7681" max="7681" width="12.109375" style="12" customWidth="1"/>
    <col min="7682" max="7682" width="60.33203125" style="12" customWidth="1"/>
    <col min="7683" max="7683" width="22.88671875" style="12" customWidth="1"/>
    <col min="7684" max="7684" width="21.6640625" style="12" customWidth="1"/>
    <col min="7685" max="7686" width="25.109375" style="12" customWidth="1"/>
    <col min="7687" max="7936" width="8.88671875" style="12"/>
    <col min="7937" max="7937" width="12.109375" style="12" customWidth="1"/>
    <col min="7938" max="7938" width="60.33203125" style="12" customWidth="1"/>
    <col min="7939" max="7939" width="22.88671875" style="12" customWidth="1"/>
    <col min="7940" max="7940" width="21.6640625" style="12" customWidth="1"/>
    <col min="7941" max="7942" width="25.109375" style="12" customWidth="1"/>
    <col min="7943" max="8192" width="8.88671875" style="12"/>
    <col min="8193" max="8193" width="12.109375" style="12" customWidth="1"/>
    <col min="8194" max="8194" width="60.33203125" style="12" customWidth="1"/>
    <col min="8195" max="8195" width="22.88671875" style="12" customWidth="1"/>
    <col min="8196" max="8196" width="21.6640625" style="12" customWidth="1"/>
    <col min="8197" max="8198" width="25.109375" style="12" customWidth="1"/>
    <col min="8199" max="8448" width="8.88671875" style="12"/>
    <col min="8449" max="8449" width="12.109375" style="12" customWidth="1"/>
    <col min="8450" max="8450" width="60.33203125" style="12" customWidth="1"/>
    <col min="8451" max="8451" width="22.88671875" style="12" customWidth="1"/>
    <col min="8452" max="8452" width="21.6640625" style="12" customWidth="1"/>
    <col min="8453" max="8454" width="25.109375" style="12" customWidth="1"/>
    <col min="8455" max="8704" width="8.88671875" style="12"/>
    <col min="8705" max="8705" width="12.109375" style="12" customWidth="1"/>
    <col min="8706" max="8706" width="60.33203125" style="12" customWidth="1"/>
    <col min="8707" max="8707" width="22.88671875" style="12" customWidth="1"/>
    <col min="8708" max="8708" width="21.6640625" style="12" customWidth="1"/>
    <col min="8709" max="8710" width="25.109375" style="12" customWidth="1"/>
    <col min="8711" max="8960" width="8.88671875" style="12"/>
    <col min="8961" max="8961" width="12.109375" style="12" customWidth="1"/>
    <col min="8962" max="8962" width="60.33203125" style="12" customWidth="1"/>
    <col min="8963" max="8963" width="22.88671875" style="12" customWidth="1"/>
    <col min="8964" max="8964" width="21.6640625" style="12" customWidth="1"/>
    <col min="8965" max="8966" width="25.109375" style="12" customWidth="1"/>
    <col min="8967" max="9216" width="8.88671875" style="12"/>
    <col min="9217" max="9217" width="12.109375" style="12" customWidth="1"/>
    <col min="9218" max="9218" width="60.33203125" style="12" customWidth="1"/>
    <col min="9219" max="9219" width="22.88671875" style="12" customWidth="1"/>
    <col min="9220" max="9220" width="21.6640625" style="12" customWidth="1"/>
    <col min="9221" max="9222" width="25.109375" style="12" customWidth="1"/>
    <col min="9223" max="9472" width="8.88671875" style="12"/>
    <col min="9473" max="9473" width="12.109375" style="12" customWidth="1"/>
    <col min="9474" max="9474" width="60.33203125" style="12" customWidth="1"/>
    <col min="9475" max="9475" width="22.88671875" style="12" customWidth="1"/>
    <col min="9476" max="9476" width="21.6640625" style="12" customWidth="1"/>
    <col min="9477" max="9478" width="25.109375" style="12" customWidth="1"/>
    <col min="9479" max="9728" width="8.88671875" style="12"/>
    <col min="9729" max="9729" width="12.109375" style="12" customWidth="1"/>
    <col min="9730" max="9730" width="60.33203125" style="12" customWidth="1"/>
    <col min="9731" max="9731" width="22.88671875" style="12" customWidth="1"/>
    <col min="9732" max="9732" width="21.6640625" style="12" customWidth="1"/>
    <col min="9733" max="9734" width="25.109375" style="12" customWidth="1"/>
    <col min="9735" max="9984" width="8.88671875" style="12"/>
    <col min="9985" max="9985" width="12.109375" style="12" customWidth="1"/>
    <col min="9986" max="9986" width="60.33203125" style="12" customWidth="1"/>
    <col min="9987" max="9987" width="22.88671875" style="12" customWidth="1"/>
    <col min="9988" max="9988" width="21.6640625" style="12" customWidth="1"/>
    <col min="9989" max="9990" width="25.109375" style="12" customWidth="1"/>
    <col min="9991" max="10240" width="8.88671875" style="12"/>
    <col min="10241" max="10241" width="12.109375" style="12" customWidth="1"/>
    <col min="10242" max="10242" width="60.33203125" style="12" customWidth="1"/>
    <col min="10243" max="10243" width="22.88671875" style="12" customWidth="1"/>
    <col min="10244" max="10244" width="21.6640625" style="12" customWidth="1"/>
    <col min="10245" max="10246" width="25.109375" style="12" customWidth="1"/>
    <col min="10247" max="10496" width="8.88671875" style="12"/>
    <col min="10497" max="10497" width="12.109375" style="12" customWidth="1"/>
    <col min="10498" max="10498" width="60.33203125" style="12" customWidth="1"/>
    <col min="10499" max="10499" width="22.88671875" style="12" customWidth="1"/>
    <col min="10500" max="10500" width="21.6640625" style="12" customWidth="1"/>
    <col min="10501" max="10502" width="25.109375" style="12" customWidth="1"/>
    <col min="10503" max="10752" width="8.88671875" style="12"/>
    <col min="10753" max="10753" width="12.109375" style="12" customWidth="1"/>
    <col min="10754" max="10754" width="60.33203125" style="12" customWidth="1"/>
    <col min="10755" max="10755" width="22.88671875" style="12" customWidth="1"/>
    <col min="10756" max="10756" width="21.6640625" style="12" customWidth="1"/>
    <col min="10757" max="10758" width="25.109375" style="12" customWidth="1"/>
    <col min="10759" max="11008" width="8.88671875" style="12"/>
    <col min="11009" max="11009" width="12.109375" style="12" customWidth="1"/>
    <col min="11010" max="11010" width="60.33203125" style="12" customWidth="1"/>
    <col min="11011" max="11011" width="22.88671875" style="12" customWidth="1"/>
    <col min="11012" max="11012" width="21.6640625" style="12" customWidth="1"/>
    <col min="11013" max="11014" width="25.109375" style="12" customWidth="1"/>
    <col min="11015" max="11264" width="8.88671875" style="12"/>
    <col min="11265" max="11265" width="12.109375" style="12" customWidth="1"/>
    <col min="11266" max="11266" width="60.33203125" style="12" customWidth="1"/>
    <col min="11267" max="11267" width="22.88671875" style="12" customWidth="1"/>
    <col min="11268" max="11268" width="21.6640625" style="12" customWidth="1"/>
    <col min="11269" max="11270" width="25.109375" style="12" customWidth="1"/>
    <col min="11271" max="11520" width="8.88671875" style="12"/>
    <col min="11521" max="11521" width="12.109375" style="12" customWidth="1"/>
    <col min="11522" max="11522" width="60.33203125" style="12" customWidth="1"/>
    <col min="11523" max="11523" width="22.88671875" style="12" customWidth="1"/>
    <col min="11524" max="11524" width="21.6640625" style="12" customWidth="1"/>
    <col min="11525" max="11526" width="25.109375" style="12" customWidth="1"/>
    <col min="11527" max="11776" width="8.88671875" style="12"/>
    <col min="11777" max="11777" width="12.109375" style="12" customWidth="1"/>
    <col min="11778" max="11778" width="60.33203125" style="12" customWidth="1"/>
    <col min="11779" max="11779" width="22.88671875" style="12" customWidth="1"/>
    <col min="11780" max="11780" width="21.6640625" style="12" customWidth="1"/>
    <col min="11781" max="11782" width="25.109375" style="12" customWidth="1"/>
    <col min="11783" max="12032" width="8.88671875" style="12"/>
    <col min="12033" max="12033" width="12.109375" style="12" customWidth="1"/>
    <col min="12034" max="12034" width="60.33203125" style="12" customWidth="1"/>
    <col min="12035" max="12035" width="22.88671875" style="12" customWidth="1"/>
    <col min="12036" max="12036" width="21.6640625" style="12" customWidth="1"/>
    <col min="12037" max="12038" width="25.109375" style="12" customWidth="1"/>
    <col min="12039" max="12288" width="8.88671875" style="12"/>
    <col min="12289" max="12289" width="12.109375" style="12" customWidth="1"/>
    <col min="12290" max="12290" width="60.33203125" style="12" customWidth="1"/>
    <col min="12291" max="12291" width="22.88671875" style="12" customWidth="1"/>
    <col min="12292" max="12292" width="21.6640625" style="12" customWidth="1"/>
    <col min="12293" max="12294" width="25.109375" style="12" customWidth="1"/>
    <col min="12295" max="12544" width="8.88671875" style="12"/>
    <col min="12545" max="12545" width="12.109375" style="12" customWidth="1"/>
    <col min="12546" max="12546" width="60.33203125" style="12" customWidth="1"/>
    <col min="12547" max="12547" width="22.88671875" style="12" customWidth="1"/>
    <col min="12548" max="12548" width="21.6640625" style="12" customWidth="1"/>
    <col min="12549" max="12550" width="25.109375" style="12" customWidth="1"/>
    <col min="12551" max="12800" width="8.88671875" style="12"/>
    <col min="12801" max="12801" width="12.109375" style="12" customWidth="1"/>
    <col min="12802" max="12802" width="60.33203125" style="12" customWidth="1"/>
    <col min="12803" max="12803" width="22.88671875" style="12" customWidth="1"/>
    <col min="12804" max="12804" width="21.6640625" style="12" customWidth="1"/>
    <col min="12805" max="12806" width="25.109375" style="12" customWidth="1"/>
    <col min="12807" max="13056" width="8.88671875" style="12"/>
    <col min="13057" max="13057" width="12.109375" style="12" customWidth="1"/>
    <col min="13058" max="13058" width="60.33203125" style="12" customWidth="1"/>
    <col min="13059" max="13059" width="22.88671875" style="12" customWidth="1"/>
    <col min="13060" max="13060" width="21.6640625" style="12" customWidth="1"/>
    <col min="13061" max="13062" width="25.109375" style="12" customWidth="1"/>
    <col min="13063" max="13312" width="8.88671875" style="12"/>
    <col min="13313" max="13313" width="12.109375" style="12" customWidth="1"/>
    <col min="13314" max="13314" width="60.33203125" style="12" customWidth="1"/>
    <col min="13315" max="13315" width="22.88671875" style="12" customWidth="1"/>
    <col min="13316" max="13316" width="21.6640625" style="12" customWidth="1"/>
    <col min="13317" max="13318" width="25.109375" style="12" customWidth="1"/>
    <col min="13319" max="13568" width="8.88671875" style="12"/>
    <col min="13569" max="13569" width="12.109375" style="12" customWidth="1"/>
    <col min="13570" max="13570" width="60.33203125" style="12" customWidth="1"/>
    <col min="13571" max="13571" width="22.88671875" style="12" customWidth="1"/>
    <col min="13572" max="13572" width="21.6640625" style="12" customWidth="1"/>
    <col min="13573" max="13574" width="25.109375" style="12" customWidth="1"/>
    <col min="13575" max="13824" width="8.88671875" style="12"/>
    <col min="13825" max="13825" width="12.109375" style="12" customWidth="1"/>
    <col min="13826" max="13826" width="60.33203125" style="12" customWidth="1"/>
    <col min="13827" max="13827" width="22.88671875" style="12" customWidth="1"/>
    <col min="13828" max="13828" width="21.6640625" style="12" customWidth="1"/>
    <col min="13829" max="13830" width="25.109375" style="12" customWidth="1"/>
    <col min="13831" max="14080" width="8.88671875" style="12"/>
    <col min="14081" max="14081" width="12.109375" style="12" customWidth="1"/>
    <col min="14082" max="14082" width="60.33203125" style="12" customWidth="1"/>
    <col min="14083" max="14083" width="22.88671875" style="12" customWidth="1"/>
    <col min="14084" max="14084" width="21.6640625" style="12" customWidth="1"/>
    <col min="14085" max="14086" width="25.109375" style="12" customWidth="1"/>
    <col min="14087" max="14336" width="8.88671875" style="12"/>
    <col min="14337" max="14337" width="12.109375" style="12" customWidth="1"/>
    <col min="14338" max="14338" width="60.33203125" style="12" customWidth="1"/>
    <col min="14339" max="14339" width="22.88671875" style="12" customWidth="1"/>
    <col min="14340" max="14340" width="21.6640625" style="12" customWidth="1"/>
    <col min="14341" max="14342" width="25.109375" style="12" customWidth="1"/>
    <col min="14343" max="14592" width="8.88671875" style="12"/>
    <col min="14593" max="14593" width="12.109375" style="12" customWidth="1"/>
    <col min="14594" max="14594" width="60.33203125" style="12" customWidth="1"/>
    <col min="14595" max="14595" width="22.88671875" style="12" customWidth="1"/>
    <col min="14596" max="14596" width="21.6640625" style="12" customWidth="1"/>
    <col min="14597" max="14598" width="25.109375" style="12" customWidth="1"/>
    <col min="14599" max="14848" width="8.88671875" style="12"/>
    <col min="14849" max="14849" width="12.109375" style="12" customWidth="1"/>
    <col min="14850" max="14850" width="60.33203125" style="12" customWidth="1"/>
    <col min="14851" max="14851" width="22.88671875" style="12" customWidth="1"/>
    <col min="14852" max="14852" width="21.6640625" style="12" customWidth="1"/>
    <col min="14853" max="14854" width="25.109375" style="12" customWidth="1"/>
    <col min="14855" max="15104" width="8.88671875" style="12"/>
    <col min="15105" max="15105" width="12.109375" style="12" customWidth="1"/>
    <col min="15106" max="15106" width="60.33203125" style="12" customWidth="1"/>
    <col min="15107" max="15107" width="22.88671875" style="12" customWidth="1"/>
    <col min="15108" max="15108" width="21.6640625" style="12" customWidth="1"/>
    <col min="15109" max="15110" width="25.109375" style="12" customWidth="1"/>
    <col min="15111" max="15360" width="8.88671875" style="12"/>
    <col min="15361" max="15361" width="12.109375" style="12" customWidth="1"/>
    <col min="15362" max="15362" width="60.33203125" style="12" customWidth="1"/>
    <col min="15363" max="15363" width="22.88671875" style="12" customWidth="1"/>
    <col min="15364" max="15364" width="21.6640625" style="12" customWidth="1"/>
    <col min="15365" max="15366" width="25.109375" style="12" customWidth="1"/>
    <col min="15367" max="15616" width="8.88671875" style="12"/>
    <col min="15617" max="15617" width="12.109375" style="12" customWidth="1"/>
    <col min="15618" max="15618" width="60.33203125" style="12" customWidth="1"/>
    <col min="15619" max="15619" width="22.88671875" style="12" customWidth="1"/>
    <col min="15620" max="15620" width="21.6640625" style="12" customWidth="1"/>
    <col min="15621" max="15622" width="25.109375" style="12" customWidth="1"/>
    <col min="15623" max="15872" width="8.88671875" style="12"/>
    <col min="15873" max="15873" width="12.109375" style="12" customWidth="1"/>
    <col min="15874" max="15874" width="60.33203125" style="12" customWidth="1"/>
    <col min="15875" max="15875" width="22.88671875" style="12" customWidth="1"/>
    <col min="15876" max="15876" width="21.6640625" style="12" customWidth="1"/>
    <col min="15877" max="15878" width="25.109375" style="12" customWidth="1"/>
    <col min="15879" max="16128" width="8.88671875" style="12"/>
    <col min="16129" max="16129" width="12.109375" style="12" customWidth="1"/>
    <col min="16130" max="16130" width="60.33203125" style="12" customWidth="1"/>
    <col min="16131" max="16131" width="22.88671875" style="12" customWidth="1"/>
    <col min="16132" max="16132" width="21.6640625" style="12" customWidth="1"/>
    <col min="16133" max="16134" width="25.109375" style="12" customWidth="1"/>
    <col min="16135" max="16384" width="8.88671875" style="12"/>
  </cols>
  <sheetData>
    <row r="1" spans="1:12" ht="16.2" thickBot="1" x14ac:dyDescent="0.35">
      <c r="A1" s="378" t="s">
        <v>255</v>
      </c>
      <c r="B1" s="379"/>
      <c r="C1" s="379"/>
      <c r="D1" s="379"/>
      <c r="E1" s="379"/>
      <c r="F1" s="379"/>
      <c r="G1" s="379"/>
      <c r="H1" s="379"/>
      <c r="I1" s="379"/>
      <c r="J1" s="379"/>
      <c r="K1" s="379"/>
      <c r="L1" s="380"/>
    </row>
    <row r="2" spans="1:12" ht="8.1" customHeight="1" x14ac:dyDescent="0.25">
      <c r="A2" s="381" t="s">
        <v>52</v>
      </c>
      <c r="B2" s="382"/>
      <c r="C2" s="382"/>
      <c r="D2" s="382"/>
      <c r="E2" s="382"/>
      <c r="F2" s="382"/>
      <c r="G2" s="382"/>
      <c r="H2" s="382"/>
      <c r="I2" s="382"/>
      <c r="J2" s="382"/>
      <c r="K2" s="382"/>
      <c r="L2" s="383"/>
    </row>
    <row r="3" spans="1:12" ht="15" customHeight="1" thickBot="1" x14ac:dyDescent="0.3">
      <c r="A3" s="384"/>
      <c r="B3" s="385"/>
      <c r="C3" s="385"/>
      <c r="D3" s="385"/>
      <c r="E3" s="385"/>
      <c r="F3" s="385"/>
      <c r="G3" s="385"/>
      <c r="H3" s="385"/>
      <c r="I3" s="385"/>
      <c r="J3" s="385"/>
      <c r="K3" s="385"/>
      <c r="L3" s="386"/>
    </row>
    <row r="4" spans="1:12" ht="25.5" customHeight="1" thickBot="1" x14ac:dyDescent="0.3">
      <c r="A4" s="390" t="str">
        <f>'Planilha Orcamentaria'!A11</f>
        <v>PROPONENTE: PREFEITURA MUNICIPAL DE IBERTIOGA</v>
      </c>
      <c r="B4" s="388"/>
      <c r="C4" s="389"/>
      <c r="D4" s="391" t="s">
        <v>53</v>
      </c>
      <c r="E4" s="392"/>
      <c r="F4" s="387">
        <f>D30</f>
        <v>81760.498747386315</v>
      </c>
      <c r="G4" s="388"/>
      <c r="H4" s="389"/>
      <c r="I4" s="391" t="str">
        <f>'Planilha Orcamentaria'!F12</f>
        <v>DATA: 21/12/2022</v>
      </c>
      <c r="J4" s="392"/>
      <c r="K4" s="392"/>
      <c r="L4" s="393"/>
    </row>
    <row r="5" spans="1:12" ht="28.5" customHeight="1" thickBot="1" x14ac:dyDescent="0.3">
      <c r="A5" s="400" t="str">
        <f>'Planilha Orcamentaria'!A12</f>
        <v xml:space="preserve">OBJETO: AMPLIAÇÃO DO CEMITERIO E CONSTRUÇÃO DE OSSÁRIO </v>
      </c>
      <c r="B5" s="401"/>
      <c r="C5" s="402"/>
      <c r="D5" s="397" t="str">
        <f>'Planilha Orcamentaria'!A13</f>
        <v>LOCAL: CEMITÉRIO MUNICIPAL DE IBERTIOGA</v>
      </c>
      <c r="E5" s="398"/>
      <c r="F5" s="398"/>
      <c r="G5" s="398"/>
      <c r="H5" s="399"/>
      <c r="I5" s="394" t="str">
        <f>'Planilha Orcamentaria'!F13</f>
        <v>PRAZO DE EXECUÇÃO: 04 MESES</v>
      </c>
      <c r="J5" s="395"/>
      <c r="K5" s="395"/>
      <c r="L5" s="396"/>
    </row>
    <row r="6" spans="1:12" x14ac:dyDescent="0.25">
      <c r="A6" s="50" t="s">
        <v>5</v>
      </c>
      <c r="B6" s="51" t="s">
        <v>54</v>
      </c>
      <c r="C6" s="52" t="s">
        <v>55</v>
      </c>
      <c r="D6" s="52" t="s">
        <v>56</v>
      </c>
      <c r="E6" s="53" t="s">
        <v>57</v>
      </c>
      <c r="F6" s="53" t="s">
        <v>58</v>
      </c>
      <c r="G6" s="53" t="s">
        <v>62</v>
      </c>
      <c r="H6" s="53" t="s">
        <v>63</v>
      </c>
      <c r="I6" s="53" t="s">
        <v>64</v>
      </c>
      <c r="J6" s="53" t="s">
        <v>65</v>
      </c>
      <c r="K6" s="53" t="s">
        <v>66</v>
      </c>
      <c r="L6" s="54" t="s">
        <v>67</v>
      </c>
    </row>
    <row r="7" spans="1:12" x14ac:dyDescent="0.25">
      <c r="A7" s="371">
        <v>1</v>
      </c>
      <c r="B7" s="369" t="str">
        <f>'Planilha Orcamentaria'!C19</f>
        <v>INSTALAÇÕES INICIAIS DA OBRA</v>
      </c>
      <c r="C7" s="14" t="s">
        <v>59</v>
      </c>
      <c r="D7" s="43">
        <f>D8/$D$30</f>
        <v>1.3314189001724947E-2</v>
      </c>
      <c r="E7" s="47">
        <v>1</v>
      </c>
      <c r="F7" s="47"/>
      <c r="G7" s="47"/>
      <c r="H7" s="47"/>
      <c r="I7" s="47"/>
      <c r="J7" s="47"/>
      <c r="K7" s="47"/>
      <c r="L7" s="55"/>
    </row>
    <row r="8" spans="1:12" x14ac:dyDescent="0.25">
      <c r="A8" s="372"/>
      <c r="B8" s="370"/>
      <c r="C8" s="15" t="s">
        <v>60</v>
      </c>
      <c r="D8" s="44">
        <f>'Planilha Orcamentaria'!H19</f>
        <v>1088.5747331979971</v>
      </c>
      <c r="E8" s="48">
        <f>E7*D8</f>
        <v>1088.5747331979971</v>
      </c>
      <c r="F8" s="48"/>
      <c r="G8" s="48"/>
      <c r="H8" s="48"/>
      <c r="I8" s="48"/>
      <c r="J8" s="48"/>
      <c r="K8" s="48"/>
      <c r="L8" s="56"/>
    </row>
    <row r="9" spans="1:12" x14ac:dyDescent="0.25">
      <c r="A9" s="371">
        <v>2</v>
      </c>
      <c r="B9" s="369" t="str">
        <f>'Planilha Orcamentaria'!C22</f>
        <v>TERRAPLENAGEM/TRABALHOS EM TERRA</v>
      </c>
      <c r="C9" s="14" t="s">
        <v>59</v>
      </c>
      <c r="D9" s="43">
        <f>D10/$D$30</f>
        <v>2.109160009234087E-2</v>
      </c>
      <c r="E9" s="47">
        <v>1</v>
      </c>
      <c r="F9" s="47"/>
      <c r="G9" s="47"/>
      <c r="H9" s="47"/>
      <c r="I9" s="47"/>
      <c r="J9" s="47"/>
      <c r="K9" s="47"/>
      <c r="L9" s="55"/>
    </row>
    <row r="10" spans="1:12" x14ac:dyDescent="0.25">
      <c r="A10" s="372"/>
      <c r="B10" s="370"/>
      <c r="C10" s="15" t="s">
        <v>60</v>
      </c>
      <c r="D10" s="45">
        <f>'Planilha Orcamentaria'!H22</f>
        <v>1724.4597429302087</v>
      </c>
      <c r="E10" s="48">
        <f>E9*D10</f>
        <v>1724.4597429302087</v>
      </c>
      <c r="F10" s="48"/>
      <c r="G10" s="48"/>
      <c r="H10" s="48"/>
      <c r="I10" s="48"/>
      <c r="J10" s="48"/>
      <c r="K10" s="48"/>
      <c r="L10" s="56"/>
    </row>
    <row r="11" spans="1:12" ht="13.95" customHeight="1" x14ac:dyDescent="0.25">
      <c r="A11" s="371">
        <v>3</v>
      </c>
      <c r="B11" s="369" t="str">
        <f>'Planilha Orcamentaria'!C27</f>
        <v>FUNDAÇÕES</v>
      </c>
      <c r="C11" s="14" t="s">
        <v>59</v>
      </c>
      <c r="D11" s="43">
        <f>D12/$D$30</f>
        <v>6.3051707657662895E-2</v>
      </c>
      <c r="E11" s="47">
        <v>1</v>
      </c>
      <c r="F11" s="47"/>
      <c r="G11" s="47"/>
      <c r="H11" s="47"/>
      <c r="I11" s="47"/>
      <c r="J11" s="47"/>
      <c r="K11" s="47"/>
      <c r="L11" s="55"/>
    </row>
    <row r="12" spans="1:12" x14ac:dyDescent="0.25">
      <c r="A12" s="372"/>
      <c r="B12" s="370"/>
      <c r="C12" s="15" t="s">
        <v>60</v>
      </c>
      <c r="D12" s="45">
        <f>'Planilha Orcamentaria'!H27</f>
        <v>5155.1390649649147</v>
      </c>
      <c r="E12" s="48">
        <f>E11*D12</f>
        <v>5155.1390649649147</v>
      </c>
      <c r="F12" s="48"/>
      <c r="G12" s="48"/>
      <c r="H12" s="48"/>
      <c r="I12" s="48"/>
      <c r="J12" s="48"/>
      <c r="K12" s="48"/>
      <c r="L12" s="56"/>
    </row>
    <row r="13" spans="1:12" ht="13.95" customHeight="1" x14ac:dyDescent="0.25">
      <c r="A13" s="371">
        <v>4</v>
      </c>
      <c r="B13" s="369" t="str">
        <f>'Planilha Orcamentaria'!C35</f>
        <v>ALVENARIA E VEDAÇÕES</v>
      </c>
      <c r="C13" s="14" t="s">
        <v>59</v>
      </c>
      <c r="D13" s="43">
        <f>D14/$D$30</f>
        <v>2.7032404836875534E-2</v>
      </c>
      <c r="E13" s="47">
        <v>0.4</v>
      </c>
      <c r="F13" s="47">
        <v>0.6</v>
      </c>
      <c r="G13" s="47"/>
      <c r="H13" s="47"/>
      <c r="I13" s="47"/>
      <c r="J13" s="47"/>
      <c r="K13" s="47"/>
      <c r="L13" s="55"/>
    </row>
    <row r="14" spans="1:12" x14ac:dyDescent="0.25">
      <c r="A14" s="372"/>
      <c r="B14" s="370"/>
      <c r="C14" s="15" t="s">
        <v>60</v>
      </c>
      <c r="D14" s="45">
        <f>'Planilha Orcamentaria'!H35</f>
        <v>2210.1829018042017</v>
      </c>
      <c r="E14" s="48">
        <f>E13*D14</f>
        <v>884.07316072168078</v>
      </c>
      <c r="F14" s="48">
        <f>F13*D14</f>
        <v>1326.1097410825209</v>
      </c>
      <c r="G14" s="48"/>
      <c r="H14" s="48"/>
      <c r="I14" s="48"/>
      <c r="J14" s="48"/>
      <c r="K14" s="48"/>
      <c r="L14" s="56"/>
    </row>
    <row r="15" spans="1:12" ht="13.95" customHeight="1" x14ac:dyDescent="0.25">
      <c r="A15" s="371">
        <v>5</v>
      </c>
      <c r="B15" s="369" t="str">
        <f>'Planilha Orcamentaria'!C37</f>
        <v>COBERTURA (LAJE)</v>
      </c>
      <c r="C15" s="14" t="s">
        <v>59</v>
      </c>
      <c r="D15" s="43">
        <f>D16/$D$30</f>
        <v>2.2111431221047785E-2</v>
      </c>
      <c r="E15" s="47"/>
      <c r="F15" s="47">
        <v>1</v>
      </c>
      <c r="G15" s="47"/>
      <c r="H15" s="47"/>
      <c r="I15" s="47"/>
      <c r="J15" s="47"/>
      <c r="K15" s="47"/>
      <c r="L15" s="55"/>
    </row>
    <row r="16" spans="1:12" x14ac:dyDescent="0.25">
      <c r="A16" s="372"/>
      <c r="B16" s="370"/>
      <c r="C16" s="15" t="s">
        <v>60</v>
      </c>
      <c r="D16" s="45">
        <f>'Planilha Orcamentaria'!H37</f>
        <v>1807.8416446513961</v>
      </c>
      <c r="E16" s="48"/>
      <c r="F16" s="48">
        <f>F15*D16</f>
        <v>1807.8416446513961</v>
      </c>
      <c r="G16" s="48"/>
      <c r="H16" s="48"/>
      <c r="I16" s="48"/>
      <c r="J16" s="48"/>
      <c r="K16" s="48"/>
      <c r="L16" s="56"/>
    </row>
    <row r="17" spans="1:13" ht="13.95" customHeight="1" x14ac:dyDescent="0.25">
      <c r="A17" s="371">
        <v>6</v>
      </c>
      <c r="B17" s="369" t="str">
        <f>'Planilha Orcamentaria'!C39</f>
        <v>REVESTIMENTOS</v>
      </c>
      <c r="C17" s="14" t="s">
        <v>59</v>
      </c>
      <c r="D17" s="43">
        <f>D18/$D$30</f>
        <v>4.396634764733634E-2</v>
      </c>
      <c r="E17" s="47"/>
      <c r="F17" s="47">
        <v>0.6</v>
      </c>
      <c r="G17" s="47">
        <v>0.4</v>
      </c>
      <c r="H17" s="47"/>
      <c r="I17" s="47"/>
      <c r="J17" s="47"/>
      <c r="K17" s="47"/>
      <c r="L17" s="55"/>
    </row>
    <row r="18" spans="1:13" x14ac:dyDescent="0.25">
      <c r="A18" s="372"/>
      <c r="B18" s="370"/>
      <c r="C18" s="15" t="s">
        <v>60</v>
      </c>
      <c r="D18" s="45">
        <f>'Planilha Orcamentaria'!H39</f>
        <v>3594.7105117471942</v>
      </c>
      <c r="E18" s="48"/>
      <c r="F18" s="48">
        <f>F17*D18</f>
        <v>2156.8263070483163</v>
      </c>
      <c r="G18" s="48">
        <f>G17*D18</f>
        <v>1437.8842046988777</v>
      </c>
      <c r="H18" s="48"/>
      <c r="I18" s="48"/>
      <c r="J18" s="48"/>
      <c r="K18" s="48"/>
      <c r="L18" s="56"/>
    </row>
    <row r="19" spans="1:13" ht="13.95" customHeight="1" x14ac:dyDescent="0.25">
      <c r="A19" s="371">
        <v>7</v>
      </c>
      <c r="B19" s="369" t="str">
        <f>'Planilha Orcamentaria'!C42</f>
        <v>PINTURA</v>
      </c>
      <c r="C19" s="14" t="s">
        <v>59</v>
      </c>
      <c r="D19" s="43">
        <f>D20/$D$30</f>
        <v>1.6577992016128255E-2</v>
      </c>
      <c r="E19" s="47"/>
      <c r="F19" s="47"/>
      <c r="G19" s="47">
        <v>1</v>
      </c>
      <c r="H19" s="47"/>
      <c r="I19" s="47"/>
      <c r="J19" s="47"/>
      <c r="K19" s="47"/>
      <c r="L19" s="55"/>
    </row>
    <row r="20" spans="1:13" x14ac:dyDescent="0.25">
      <c r="A20" s="372"/>
      <c r="B20" s="370"/>
      <c r="C20" s="15" t="s">
        <v>60</v>
      </c>
      <c r="D20" s="45">
        <f>'Planilha Orcamentaria'!H42</f>
        <v>1355.4248954688346</v>
      </c>
      <c r="E20" s="48"/>
      <c r="F20" s="48"/>
      <c r="G20" s="48">
        <f>G19*D20</f>
        <v>1355.4248954688346</v>
      </c>
      <c r="H20" s="48"/>
      <c r="I20" s="48"/>
      <c r="J20" s="48"/>
      <c r="K20" s="48"/>
      <c r="L20" s="56"/>
    </row>
    <row r="21" spans="1:13" ht="13.95" customHeight="1" x14ac:dyDescent="0.25">
      <c r="A21" s="371">
        <v>8</v>
      </c>
      <c r="B21" s="369" t="str">
        <f>'Planilha Orcamentaria'!C46</f>
        <v>PAVIMENTAÇÃO (ALAMEDAS) - PARCELAMENTO</v>
      </c>
      <c r="C21" s="14" t="s">
        <v>59</v>
      </c>
      <c r="D21" s="43">
        <f>D22/$D$30</f>
        <v>0.49416425917046664</v>
      </c>
      <c r="E21" s="47"/>
      <c r="F21" s="47"/>
      <c r="G21" s="47">
        <v>0.4</v>
      </c>
      <c r="H21" s="47">
        <v>0.6</v>
      </c>
      <c r="I21" s="47"/>
      <c r="J21" s="47"/>
      <c r="K21" s="47"/>
      <c r="L21" s="55"/>
    </row>
    <row r="22" spans="1:13" x14ac:dyDescent="0.25">
      <c r="A22" s="372"/>
      <c r="B22" s="370"/>
      <c r="C22" s="15" t="s">
        <v>60</v>
      </c>
      <c r="D22" s="45">
        <f>'Planilha Orcamentaria'!H46</f>
        <v>40403.116292910025</v>
      </c>
      <c r="E22" s="48"/>
      <c r="F22" s="48"/>
      <c r="G22" s="48">
        <f>G21*D22</f>
        <v>16161.246517164011</v>
      </c>
      <c r="H22" s="48">
        <f>H21*D22</f>
        <v>24241.869775746014</v>
      </c>
      <c r="I22" s="48"/>
      <c r="J22" s="48"/>
      <c r="K22" s="48"/>
      <c r="L22" s="56"/>
    </row>
    <row r="23" spans="1:13" ht="13.95" customHeight="1" x14ac:dyDescent="0.25">
      <c r="A23" s="371">
        <v>9</v>
      </c>
      <c r="B23" s="369" t="str">
        <f>'Planilha Orcamentaria'!C54</f>
        <v>FUNDAÇÕES (MURO)</v>
      </c>
      <c r="C23" s="14" t="s">
        <v>59</v>
      </c>
      <c r="D23" s="43">
        <f>D24/$D$30</f>
        <v>0.13734803392095568</v>
      </c>
      <c r="E23" s="47"/>
      <c r="F23" s="47">
        <v>1</v>
      </c>
      <c r="G23" s="47"/>
      <c r="H23" s="47"/>
      <c r="I23" s="47"/>
      <c r="J23" s="47"/>
      <c r="K23" s="47"/>
      <c r="L23" s="55"/>
    </row>
    <row r="24" spans="1:13" x14ac:dyDescent="0.25">
      <c r="A24" s="372"/>
      <c r="B24" s="370"/>
      <c r="C24" s="15" t="s">
        <v>60</v>
      </c>
      <c r="D24" s="45">
        <f>'Planilha Orcamentaria'!H54</f>
        <v>11229.643755350271</v>
      </c>
      <c r="E24" s="48"/>
      <c r="F24" s="48">
        <f>F23*D24</f>
        <v>11229.643755350271</v>
      </c>
      <c r="G24" s="48"/>
      <c r="H24" s="48"/>
      <c r="I24" s="48"/>
      <c r="J24" s="48"/>
      <c r="K24" s="48"/>
      <c r="L24" s="56"/>
    </row>
    <row r="25" spans="1:13" ht="13.95" customHeight="1" x14ac:dyDescent="0.25">
      <c r="A25" s="371">
        <v>10</v>
      </c>
      <c r="B25" s="369" t="str">
        <f>'Planilha Orcamentaria'!C61</f>
        <v>SUPERESTRUTURA, ALVENARIA E REVESTIMENTO (MURO)</v>
      </c>
      <c r="C25" s="14" t="s">
        <v>59</v>
      </c>
      <c r="D25" s="43">
        <f>D26/$D$30</f>
        <v>0.14641665923198685</v>
      </c>
      <c r="E25" s="47"/>
      <c r="F25" s="47">
        <v>0.3</v>
      </c>
      <c r="G25" s="47">
        <v>0.3</v>
      </c>
      <c r="H25" s="47">
        <v>0.4</v>
      </c>
      <c r="I25" s="47"/>
      <c r="J25" s="47"/>
      <c r="K25" s="47"/>
      <c r="L25" s="55"/>
    </row>
    <row r="26" spans="1:13" x14ac:dyDescent="0.25">
      <c r="A26" s="372"/>
      <c r="B26" s="370"/>
      <c r="C26" s="15" t="s">
        <v>60</v>
      </c>
      <c r="D26" s="45">
        <f>'Planilha Orcamentaria'!H61</f>
        <v>11971.09908373335</v>
      </c>
      <c r="E26" s="48"/>
      <c r="F26" s="48">
        <f>F25*D26</f>
        <v>3591.3297251200052</v>
      </c>
      <c r="G26" s="48">
        <f>G25*D26</f>
        <v>3591.3297251200052</v>
      </c>
      <c r="H26" s="168">
        <f>H25*D26</f>
        <v>4788.4396334933399</v>
      </c>
      <c r="I26" s="48"/>
      <c r="J26" s="48"/>
      <c r="K26" s="48"/>
      <c r="L26" s="56"/>
    </row>
    <row r="27" spans="1:13" ht="13.95" customHeight="1" x14ac:dyDescent="0.25">
      <c r="A27" s="371">
        <v>11</v>
      </c>
      <c r="B27" s="369" t="str">
        <f>'Planilha Orcamentaria'!C69</f>
        <v>LIMPEZA GERAL</v>
      </c>
      <c r="C27" s="14" t="s">
        <v>59</v>
      </c>
      <c r="D27" s="43">
        <f>D28/$D$30</f>
        <v>1.4925375203474086E-2</v>
      </c>
      <c r="E27" s="47"/>
      <c r="F27" s="47"/>
      <c r="G27" s="47"/>
      <c r="H27" s="47">
        <v>1</v>
      </c>
      <c r="I27" s="47"/>
      <c r="J27" s="47"/>
      <c r="K27" s="47"/>
      <c r="L27" s="55"/>
    </row>
    <row r="28" spans="1:13" x14ac:dyDescent="0.25">
      <c r="A28" s="372"/>
      <c r="B28" s="370"/>
      <c r="C28" s="15" t="s">
        <v>60</v>
      </c>
      <c r="D28" s="45">
        <f>'Planilha Orcamentaria'!H69</f>
        <v>1220.3061206279137</v>
      </c>
      <c r="E28" s="48"/>
      <c r="F28" s="48"/>
      <c r="G28" s="48"/>
      <c r="H28" s="48">
        <f>H27*D28</f>
        <v>1220.3061206279137</v>
      </c>
      <c r="I28" s="48"/>
      <c r="J28" s="48"/>
      <c r="K28" s="48"/>
      <c r="L28" s="56"/>
    </row>
    <row r="29" spans="1:13" x14ac:dyDescent="0.25">
      <c r="A29" s="373" t="s">
        <v>61</v>
      </c>
      <c r="B29" s="374"/>
      <c r="C29" s="16" t="s">
        <v>59</v>
      </c>
      <c r="D29" s="46">
        <f>(D8+D10+D12+D14+D16+D18+D20+D22+D24+D26+D28)/D30</f>
        <v>1</v>
      </c>
      <c r="E29" s="49">
        <f>(E8+E10+E12+E14+E16+E18+E20+E22+E24+E26+E28)/$D$30</f>
        <v>0.10827045868647893</v>
      </c>
      <c r="F29" s="49">
        <f>(F8+F10+F12+F14+F16+F18+F20+F22+F24+F26+F28)/$D$30</f>
        <v>0.24598371440212666</v>
      </c>
      <c r="G29" s="49">
        <f>(G8+G10+G12+G14+G16+G18+G20+G22+G24+G26+G28)/$D$30</f>
        <v>0.27575523251284556</v>
      </c>
      <c r="H29" s="49">
        <f>(H8+H10+H12+H14+H16+H18+H20+H22+H24+H26+H28)/$D$30</f>
        <v>0.36999059439854881</v>
      </c>
      <c r="I29" s="49"/>
      <c r="J29" s="49"/>
      <c r="K29" s="49"/>
      <c r="L29" s="86"/>
      <c r="M29" s="58">
        <f>SUM(E29:H29)</f>
        <v>1</v>
      </c>
    </row>
    <row r="30" spans="1:13" ht="13.8" thickBot="1" x14ac:dyDescent="0.3">
      <c r="A30" s="375"/>
      <c r="B30" s="376"/>
      <c r="C30" s="17" t="s">
        <v>60</v>
      </c>
      <c r="D30" s="57">
        <f>D28+D26+D24+D22+D20+D18+D16+D14+D12+D10+D8</f>
        <v>81760.498747386315</v>
      </c>
      <c r="E30" s="57">
        <f>E28+E26+E24+E22+E20+E18+E16+E14+E12+E10+E8</f>
        <v>8852.2467018148</v>
      </c>
      <c r="F30" s="57">
        <f t="shared" ref="F30:G30" si="0">F28+F26+F24+F22+F20+F18+F16+F14+F12+F10+F8</f>
        <v>20111.751173252509</v>
      </c>
      <c r="G30" s="57">
        <f t="shared" si="0"/>
        <v>22545.885342451729</v>
      </c>
      <c r="H30" s="57">
        <f>H28+H26+H24+H22+H20+H18+H16+H14+H12+H10+H8</f>
        <v>30250.615529867267</v>
      </c>
      <c r="I30" s="57"/>
      <c r="J30" s="57"/>
      <c r="K30" s="57"/>
      <c r="L30" s="87"/>
      <c r="M30" s="167">
        <f>SUM(E30:H30)</f>
        <v>81760.4987473863</v>
      </c>
    </row>
    <row r="31" spans="1:13" ht="13.8" thickBot="1" x14ac:dyDescent="0.3">
      <c r="A31" s="18"/>
      <c r="B31" s="19"/>
      <c r="C31" s="20"/>
      <c r="D31" s="20"/>
      <c r="E31" s="19"/>
      <c r="F31" s="19"/>
      <c r="G31" s="19"/>
      <c r="H31" s="19"/>
      <c r="I31" s="19"/>
      <c r="J31" s="19"/>
      <c r="K31" s="19"/>
      <c r="L31" s="21"/>
    </row>
    <row r="32" spans="1:13" x14ac:dyDescent="0.25">
      <c r="A32" s="22"/>
      <c r="B32" s="24"/>
      <c r="C32" s="24"/>
      <c r="D32" s="24"/>
      <c r="E32" s="24"/>
      <c r="F32" s="41"/>
      <c r="G32" s="41"/>
      <c r="H32" s="41"/>
      <c r="I32" s="41"/>
      <c r="J32" s="41"/>
      <c r="K32" s="41"/>
      <c r="L32" s="88"/>
    </row>
    <row r="33" spans="1:12" x14ac:dyDescent="0.25">
      <c r="A33" s="22"/>
      <c r="B33" s="23"/>
      <c r="C33" s="24"/>
      <c r="D33" s="377"/>
      <c r="E33" s="377"/>
      <c r="F33" s="42"/>
      <c r="G33" s="13"/>
      <c r="H33" s="42"/>
      <c r="I33" s="13"/>
      <c r="J33" s="42"/>
      <c r="K33" s="13"/>
      <c r="L33" s="89"/>
    </row>
    <row r="34" spans="1:12" ht="13.2" customHeight="1" x14ac:dyDescent="0.25">
      <c r="A34" s="25"/>
      <c r="B34" s="171" t="str">
        <f>'Planilha Orcamentaria'!C74</f>
        <v>ENGENHEIRO</v>
      </c>
      <c r="C34" s="26"/>
      <c r="D34" s="403" t="str">
        <f>'Planilha Orcamentaria'!C78</f>
        <v>EMPRESA</v>
      </c>
      <c r="E34" s="403"/>
      <c r="F34" s="403"/>
      <c r="G34" s="40"/>
      <c r="H34" s="40"/>
      <c r="I34" s="40"/>
      <c r="J34" s="40"/>
      <c r="K34" s="40"/>
      <c r="L34" s="90"/>
    </row>
    <row r="35" spans="1:12" ht="29.4" customHeight="1" thickBot="1" x14ac:dyDescent="0.3">
      <c r="A35" s="27"/>
      <c r="B35" s="222" t="str">
        <f>'Planilha Orcamentaria'!C75</f>
        <v>R. T. EMPRESA</v>
      </c>
      <c r="C35" s="28"/>
      <c r="D35" s="404" t="str">
        <f>'MEC 01 '!C66</f>
        <v>REPRESENTANTE EMPRESA</v>
      </c>
      <c r="E35" s="404"/>
      <c r="F35" s="404"/>
      <c r="G35" s="91"/>
      <c r="H35" s="91"/>
      <c r="I35" s="91"/>
      <c r="J35" s="91"/>
      <c r="K35" s="91"/>
      <c r="L35" s="92"/>
    </row>
    <row r="36" spans="1:12" x14ac:dyDescent="0.25">
      <c r="A36" s="31"/>
      <c r="B36" s="32"/>
      <c r="C36" s="26"/>
      <c r="D36" s="26"/>
      <c r="E36" s="30"/>
      <c r="F36" s="30"/>
      <c r="G36" s="30"/>
      <c r="H36" s="30"/>
      <c r="I36" s="30"/>
      <c r="J36" s="30"/>
      <c r="K36" s="30"/>
      <c r="L36" s="30"/>
    </row>
    <row r="37" spans="1:12" x14ac:dyDescent="0.25">
      <c r="A37" s="31"/>
      <c r="B37" s="32"/>
      <c r="C37" s="26"/>
      <c r="D37" s="26"/>
      <c r="E37" s="30"/>
      <c r="F37" s="30"/>
      <c r="G37" s="30"/>
      <c r="H37" s="30"/>
      <c r="I37" s="30"/>
      <c r="J37" s="30"/>
      <c r="K37" s="30"/>
      <c r="L37" s="30"/>
    </row>
    <row r="38" spans="1:12" x14ac:dyDescent="0.25">
      <c r="A38" s="33"/>
      <c r="B38" s="34"/>
      <c r="C38" s="35"/>
      <c r="D38" s="35"/>
      <c r="E38" s="36"/>
      <c r="F38" s="36"/>
      <c r="G38" s="36"/>
      <c r="H38" s="36"/>
      <c r="I38" s="36"/>
      <c r="J38" s="36"/>
      <c r="K38" s="36"/>
      <c r="L38" s="36"/>
    </row>
    <row r="39" spans="1:12" ht="13.8" thickBot="1" x14ac:dyDescent="0.3">
      <c r="A39" s="37"/>
      <c r="B39" s="38"/>
      <c r="C39" s="39"/>
      <c r="D39" s="39"/>
      <c r="E39" s="29"/>
      <c r="F39" s="30"/>
      <c r="G39" s="29"/>
      <c r="H39" s="30"/>
      <c r="I39" s="29"/>
      <c r="J39" s="30"/>
      <c r="K39" s="29"/>
      <c r="L39" s="30"/>
    </row>
    <row r="40" spans="1:12" x14ac:dyDescent="0.25">
      <c r="A40" s="30"/>
      <c r="B40" s="30"/>
      <c r="C40" s="26"/>
      <c r="D40" s="26"/>
      <c r="E40" s="30"/>
      <c r="F40" s="30"/>
      <c r="G40" s="30"/>
      <c r="H40" s="30"/>
      <c r="I40" s="30"/>
      <c r="J40" s="30"/>
      <c r="K40" s="30"/>
      <c r="L40" s="30"/>
    </row>
    <row r="41" spans="1:12" x14ac:dyDescent="0.25">
      <c r="A41" s="30"/>
      <c r="B41" s="30"/>
      <c r="C41" s="26"/>
      <c r="D41" s="26"/>
      <c r="E41" s="30"/>
      <c r="F41" s="30"/>
      <c r="G41" s="30"/>
      <c r="H41" s="30"/>
      <c r="I41" s="30"/>
      <c r="J41" s="30"/>
      <c r="K41" s="30"/>
      <c r="L41" s="30"/>
    </row>
    <row r="42" spans="1:12" x14ac:dyDescent="0.25">
      <c r="A42" s="30"/>
      <c r="B42" s="30"/>
      <c r="C42" s="26"/>
      <c r="D42" s="26"/>
      <c r="E42" s="30"/>
      <c r="F42" s="30"/>
      <c r="G42" s="30"/>
      <c r="H42" s="30"/>
      <c r="I42" s="30"/>
      <c r="J42" s="30"/>
      <c r="K42" s="30"/>
      <c r="L42" s="30"/>
    </row>
    <row r="43" spans="1:12" x14ac:dyDescent="0.25">
      <c r="A43" s="30"/>
      <c r="B43" s="30"/>
      <c r="C43" s="26"/>
      <c r="D43" s="26"/>
      <c r="E43" s="30"/>
      <c r="F43" s="30"/>
      <c r="G43" s="30"/>
      <c r="H43" s="30"/>
      <c r="I43" s="30"/>
      <c r="J43" s="30"/>
      <c r="K43" s="30"/>
      <c r="L43" s="30"/>
    </row>
    <row r="44" spans="1:12" x14ac:dyDescent="0.25">
      <c r="A44" s="30"/>
      <c r="B44" s="30"/>
      <c r="C44" s="26"/>
      <c r="D44" s="26"/>
      <c r="E44" s="30"/>
      <c r="F44" s="30"/>
      <c r="G44" s="30"/>
      <c r="H44" s="30"/>
      <c r="I44" s="30"/>
      <c r="J44" s="30"/>
      <c r="K44" s="30"/>
      <c r="L44" s="30"/>
    </row>
    <row r="45" spans="1:12" x14ac:dyDescent="0.25">
      <c r="A45" s="30"/>
      <c r="B45" s="30"/>
      <c r="C45" s="26"/>
      <c r="D45" s="26"/>
      <c r="E45" s="30"/>
      <c r="F45" s="30"/>
      <c r="G45" s="30"/>
      <c r="H45" s="30"/>
      <c r="I45" s="30"/>
      <c r="J45" s="30"/>
      <c r="K45" s="30"/>
      <c r="L45" s="30"/>
    </row>
    <row r="46" spans="1:12" x14ac:dyDescent="0.25">
      <c r="A46" s="30"/>
      <c r="B46" s="30"/>
      <c r="C46" s="26"/>
      <c r="D46" s="26"/>
      <c r="E46" s="30"/>
      <c r="F46" s="30"/>
      <c r="G46" s="30"/>
      <c r="H46" s="30"/>
      <c r="I46" s="30"/>
      <c r="J46" s="30"/>
      <c r="K46" s="30"/>
      <c r="L46" s="30"/>
    </row>
  </sheetData>
  <mergeCells count="35">
    <mergeCell ref="D34:F34"/>
    <mergeCell ref="D35:F35"/>
    <mergeCell ref="B9:B10"/>
    <mergeCell ref="A25:A26"/>
    <mergeCell ref="A9:A10"/>
    <mergeCell ref="A11:A12"/>
    <mergeCell ref="B11:B12"/>
    <mergeCell ref="A13:A14"/>
    <mergeCell ref="B13:B14"/>
    <mergeCell ref="A15:A16"/>
    <mergeCell ref="B15:B16"/>
    <mergeCell ref="A17:A18"/>
    <mergeCell ref="B17:B18"/>
    <mergeCell ref="A19:A20"/>
    <mergeCell ref="B19:B20"/>
    <mergeCell ref="A21:A22"/>
    <mergeCell ref="A1:L1"/>
    <mergeCell ref="A2:L3"/>
    <mergeCell ref="F4:H4"/>
    <mergeCell ref="A7:A8"/>
    <mergeCell ref="B7:B8"/>
    <mergeCell ref="A4:C4"/>
    <mergeCell ref="D4:E4"/>
    <mergeCell ref="I4:L4"/>
    <mergeCell ref="I5:L5"/>
    <mergeCell ref="D5:H5"/>
    <mergeCell ref="A5:C5"/>
    <mergeCell ref="B21:B22"/>
    <mergeCell ref="A23:A24"/>
    <mergeCell ref="B23:B24"/>
    <mergeCell ref="A29:B30"/>
    <mergeCell ref="D33:E33"/>
    <mergeCell ref="B25:B26"/>
    <mergeCell ref="A27:A28"/>
    <mergeCell ref="B27:B28"/>
  </mergeCells>
  <printOptions horizontalCentered="1"/>
  <pageMargins left="0.59055118110236227" right="0" top="0.78740157480314965" bottom="0" header="0" footer="0"/>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vt:i4>
      </vt:variant>
    </vt:vector>
  </HeadingPairs>
  <TitlesOfParts>
    <vt:vector size="12" baseType="lpstr">
      <vt:lpstr>COMPOSIÇÃO DE CUSTO</vt:lpstr>
      <vt:lpstr>MEC 01 </vt:lpstr>
      <vt:lpstr>Planilha Orcamentaria</vt:lpstr>
      <vt:lpstr>BDI</vt:lpstr>
      <vt:lpstr>CFF</vt:lpstr>
      <vt:lpstr>BDI!Area_de_impressao</vt:lpstr>
      <vt:lpstr>CFF!Area_de_impressao</vt:lpstr>
      <vt:lpstr>'COMPOSIÇÃO DE CUSTO'!Area_de_impressao</vt:lpstr>
      <vt:lpstr>'MEC 01 '!Area_de_impressao</vt:lpstr>
      <vt:lpstr>'Planilha Orcamentaria'!Area_de_impressao</vt:lpstr>
      <vt:lpstr>'MEC 01 '!Titulos_de_impressao</vt:lpstr>
      <vt:lpstr>'Planilha Orcamentaria'!Titulos_de_impressao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CLIFFORD</cp:lastModifiedBy>
  <cp:lastPrinted>2022-12-27T13:38:52Z</cp:lastPrinted>
  <dcterms:created xsi:type="dcterms:W3CDTF">2006-09-22T13:55:22Z</dcterms:created>
  <dcterms:modified xsi:type="dcterms:W3CDTF">2022-12-28T11:43:46Z</dcterms:modified>
</cp:coreProperties>
</file>